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e\13_FISI-Weiterbildung\10_Fächer\08_Netzwerke\"/>
    </mc:Choice>
  </mc:AlternateContent>
  <xr:revisionPtr revIDLastSave="0" documentId="13_ncr:1_{D6209067-98FB-4B08-B3FE-6660C95EFA7A}" xr6:coauthVersionLast="45" xr6:coauthVersionMax="45" xr10:uidLastSave="{00000000-0000-0000-0000-000000000000}"/>
  <bookViews>
    <workbookView xWindow="-120" yWindow="-120" windowWidth="29040" windowHeight="15840" xr2:uid="{D98CDDBE-6645-4012-AF04-537204ECAC19}"/>
  </bookViews>
  <sheets>
    <sheet name="Datenumrechnung" sheetId="1" r:id="rId1"/>
  </sheets>
  <definedNames>
    <definedName name="_xlnm.Print_Area" localSheetId="0">Datenumrechnung!$A$1:$L$70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4" i="1" l="1"/>
  <c r="J93" i="1"/>
  <c r="J92" i="1"/>
  <c r="J91" i="1"/>
  <c r="J90" i="1"/>
  <c r="J89" i="1"/>
  <c r="J88" i="1"/>
  <c r="J87" i="1"/>
  <c r="J86" i="1"/>
  <c r="J85" i="1"/>
  <c r="J84" i="1"/>
  <c r="J83" i="1"/>
  <c r="J78" i="1"/>
  <c r="J77" i="1"/>
  <c r="J76" i="1"/>
  <c r="J75" i="1"/>
  <c r="J74" i="1"/>
  <c r="J73" i="1"/>
  <c r="J72" i="1"/>
  <c r="J71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J69" i="1"/>
  <c r="J68" i="1"/>
  <c r="J67" i="1"/>
  <c r="J66" i="1"/>
  <c r="J65" i="1"/>
  <c r="J64" i="1"/>
  <c r="J63" i="1"/>
  <c r="J62" i="1"/>
  <c r="J61" i="1"/>
  <c r="J60" i="1"/>
  <c r="J59" i="1"/>
  <c r="J58" i="1"/>
  <c r="J55" i="1"/>
  <c r="J57" i="1"/>
  <c r="J56" i="1"/>
  <c r="J54" i="1" l="1"/>
  <c r="J53" i="1"/>
  <c r="J52" i="1"/>
  <c r="J51" i="1"/>
  <c r="J50" i="1"/>
  <c r="G69" i="1"/>
  <c r="G68" i="1"/>
  <c r="G67" i="1"/>
  <c r="G66" i="1"/>
  <c r="G65" i="1"/>
  <c r="G64" i="1"/>
  <c r="G63" i="1"/>
  <c r="G62" i="1"/>
  <c r="G61" i="1"/>
  <c r="G60" i="1"/>
  <c r="G59" i="1" l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D94" i="1"/>
  <c r="D93" i="1"/>
  <c r="D92" i="1"/>
  <c r="D91" i="1"/>
  <c r="D90" i="1"/>
  <c r="D89" i="1"/>
  <c r="D88" i="1"/>
  <c r="D87" i="1"/>
  <c r="D86" i="1"/>
  <c r="D85" i="1"/>
  <c r="D84" i="1"/>
  <c r="D83" i="1"/>
  <c r="D74" i="1"/>
  <c r="D73" i="1"/>
  <c r="D72" i="1"/>
  <c r="D71" i="1"/>
  <c r="D59" i="1"/>
  <c r="D58" i="1"/>
  <c r="D57" i="1"/>
  <c r="D56" i="1"/>
  <c r="D55" i="1"/>
  <c r="D69" i="1"/>
  <c r="D68" i="1"/>
  <c r="D67" i="1"/>
  <c r="D66" i="1"/>
  <c r="D65" i="1"/>
  <c r="D64" i="1"/>
  <c r="D63" i="1"/>
  <c r="D62" i="1"/>
  <c r="D61" i="1"/>
  <c r="D60" i="1"/>
  <c r="D54" i="1"/>
  <c r="D53" i="1"/>
  <c r="D52" i="1"/>
  <c r="D51" i="1"/>
  <c r="D50" i="1"/>
  <c r="D49" i="1"/>
  <c r="D48" i="1"/>
  <c r="D47" i="1"/>
  <c r="D46" i="1"/>
  <c r="D45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G38" i="1"/>
  <c r="G37" i="1"/>
  <c r="G36" i="1"/>
  <c r="G35" i="1"/>
  <c r="G34" i="1"/>
  <c r="G33" i="1"/>
  <c r="G32" i="1"/>
  <c r="G30" i="1"/>
  <c r="G31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8" i="1" l="1"/>
  <c r="G7" i="1"/>
  <c r="G6" i="1"/>
  <c r="G5" i="1"/>
  <c r="G4" i="1"/>
  <c r="D8" i="1"/>
  <c r="D7" i="1"/>
  <c r="D6" i="1"/>
  <c r="D5" i="1"/>
  <c r="D14" i="1"/>
  <c r="D13" i="1"/>
  <c r="D12" i="1"/>
  <c r="G3" i="1"/>
  <c r="D33" i="1"/>
  <c r="D34" i="1"/>
  <c r="D35" i="1"/>
  <c r="D36" i="1"/>
  <c r="D37" i="1"/>
  <c r="D38" i="1"/>
  <c r="D32" i="1"/>
  <c r="D31" i="1"/>
  <c r="D30" i="1"/>
  <c r="D29" i="1"/>
  <c r="D28" i="1"/>
  <c r="D27" i="1"/>
  <c r="D26" i="1"/>
  <c r="D25" i="1"/>
  <c r="D24" i="1"/>
  <c r="D23" i="1" l="1"/>
  <c r="D22" i="1"/>
  <c r="D21" i="1"/>
  <c r="D20" i="1"/>
  <c r="D19" i="1"/>
  <c r="D18" i="1"/>
  <c r="D17" i="1"/>
  <c r="D16" i="1"/>
  <c r="D15" i="1"/>
  <c r="D11" i="1"/>
  <c r="D10" i="1"/>
  <c r="D9" i="1"/>
  <c r="D4" i="1"/>
  <c r="D3" i="1"/>
</calcChain>
</file>

<file path=xl/sharedStrings.xml><?xml version="1.0" encoding="utf-8"?>
<sst xmlns="http://schemas.openxmlformats.org/spreadsheetml/2006/main" count="639" uniqueCount="34">
  <si>
    <t>bit</t>
  </si>
  <si>
    <t>b</t>
  </si>
  <si>
    <t>B</t>
  </si>
  <si>
    <t>kilobit</t>
  </si>
  <si>
    <t>kb</t>
  </si>
  <si>
    <t>kibibit</t>
  </si>
  <si>
    <t>Kib</t>
  </si>
  <si>
    <t>kB</t>
  </si>
  <si>
    <t>kibibyte</t>
  </si>
  <si>
    <t>KiB</t>
  </si>
  <si>
    <t>megabit</t>
  </si>
  <si>
    <t>Mb</t>
  </si>
  <si>
    <t>MB</t>
  </si>
  <si>
    <t>mebibyte</t>
  </si>
  <si>
    <t>MiB</t>
  </si>
  <si>
    <t>gigabit</t>
  </si>
  <si>
    <t>Gb</t>
  </si>
  <si>
    <t>GB</t>
  </si>
  <si>
    <t>gibibyte</t>
  </si>
  <si>
    <t>GiB</t>
  </si>
  <si>
    <t>TB</t>
  </si>
  <si>
    <t>tebibyte</t>
  </si>
  <si>
    <t>TiB</t>
  </si>
  <si>
    <t>Basis</t>
  </si>
  <si>
    <t>Ausgangswert</t>
  </si>
  <si>
    <t>Byte</t>
  </si>
  <si>
    <t>Kilobyte</t>
  </si>
  <si>
    <t>Megabyte</t>
  </si>
  <si>
    <t>Gigabyte</t>
  </si>
  <si>
    <t>Ergebnis</t>
  </si>
  <si>
    <t>Terabyte</t>
  </si>
  <si>
    <t>Einheit</t>
  </si>
  <si>
    <t>Tb</t>
  </si>
  <si>
    <t>terabit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</si>
</sst>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000000000000"/>
    <numFmt numFmtId="165" formatCode="0.000000000000"/>
    <numFmt numFmtId="166" formatCode="0.000000000000000"/>
    <numFmt numFmtId="167" formatCode="0.000000000000000000000"/>
    <numFmt numFmtId="168" formatCode="0.00000000000000000000"/>
    <numFmt numFmtId="169" formatCode="0.000000000000000000000000"/>
    <numFmt numFmtId="170" formatCode="0.000000000000000000000000000"/>
    <numFmt numFmtId="171" formatCode="0.000"/>
    <numFmt numFmtId="172" formatCode="0.000000"/>
    <numFmt numFmtId="173" formatCode="0.000000000"/>
    <numFmt numFmtId="174" formatCode="0.000000000000000000"/>
  </numFmts>
  <fonts count="4" x14ac:knownFonts="1">
    <font>
      <sz val="10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 tint="-0.14993743705557422"/>
      </patternFill>
    </fill>
    <fill>
      <patternFill patternType="solid">
        <fgColor rgb="FFEBFFFF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1" fontId="1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8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3" xfId="0" applyFont="1" applyFill="1" applyBorder="1"/>
    <xf numFmtId="1" fontId="3" fillId="3" borderId="6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right" indent="1"/>
    </xf>
    <xf numFmtId="0" fontId="1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NumberFormat="1" applyFont="1" applyFill="1" applyBorder="1" applyAlignment="1">
      <alignment horizontal="right" indent="1"/>
    </xf>
    <xf numFmtId="0" fontId="1" fillId="4" borderId="11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3" xfId="0" applyNumberFormat="1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5" xfId="0" applyNumberFormat="1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7" xfId="0" applyNumberFormat="1" applyFont="1" applyFill="1" applyBorder="1" applyAlignment="1">
      <alignment horizontal="right" indent="1"/>
    </xf>
    <xf numFmtId="0" fontId="1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167" fontId="2" fillId="4" borderId="17" xfId="0" applyNumberFormat="1" applyFont="1" applyFill="1" applyBorder="1" applyAlignment="1">
      <alignment horizontal="right" indent="1"/>
    </xf>
    <xf numFmtId="168" fontId="2" fillId="4" borderId="11" xfId="0" applyNumberFormat="1" applyFont="1" applyFill="1" applyBorder="1" applyAlignment="1">
      <alignment horizontal="right" indent="1"/>
    </xf>
    <xf numFmtId="169" fontId="2" fillId="4" borderId="9" xfId="0" applyNumberFormat="1" applyFont="1" applyFill="1" applyBorder="1" applyAlignment="1">
      <alignment horizontal="right" indent="1"/>
    </xf>
    <xf numFmtId="169" fontId="2" fillId="4" borderId="11" xfId="0" applyNumberFormat="1" applyFont="1" applyFill="1" applyBorder="1" applyAlignment="1">
      <alignment horizontal="right" indent="1"/>
    </xf>
    <xf numFmtId="0" fontId="1" fillId="5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 wrapText="1"/>
    </xf>
    <xf numFmtId="0" fontId="2" fillId="7" borderId="9" xfId="0" applyNumberFormat="1" applyFont="1" applyFill="1" applyBorder="1" applyAlignment="1">
      <alignment horizontal="right" indent="1"/>
    </xf>
    <xf numFmtId="0" fontId="1" fillId="7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vertical="center" wrapText="1"/>
    </xf>
    <xf numFmtId="0" fontId="2" fillId="7" borderId="11" xfId="0" applyNumberFormat="1" applyFont="1" applyFill="1" applyBorder="1" applyAlignment="1">
      <alignment horizontal="right" indent="1"/>
    </xf>
    <xf numFmtId="0" fontId="1" fillId="7" borderId="11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left"/>
    </xf>
    <xf numFmtId="0" fontId="1" fillId="7" borderId="11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7" borderId="15" xfId="0" applyNumberFormat="1" applyFont="1" applyFill="1" applyBorder="1" applyAlignment="1">
      <alignment horizontal="right" indent="1"/>
    </xf>
    <xf numFmtId="0" fontId="1" fillId="7" borderId="15" xfId="0" applyFont="1" applyFill="1" applyBorder="1" applyAlignment="1">
      <alignment horizontal="left"/>
    </xf>
    <xf numFmtId="0" fontId="2" fillId="7" borderId="16" xfId="0" applyFont="1" applyFill="1" applyBorder="1" applyAlignment="1">
      <alignment horizontal="left"/>
    </xf>
    <xf numFmtId="0" fontId="1" fillId="7" borderId="15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vertical="center" wrapText="1"/>
    </xf>
    <xf numFmtId="0" fontId="2" fillId="7" borderId="13" xfId="0" applyNumberFormat="1" applyFont="1" applyFill="1" applyBorder="1" applyAlignment="1">
      <alignment horizontal="right" indent="1"/>
    </xf>
    <xf numFmtId="0" fontId="1" fillId="7" borderId="13" xfId="0" applyFont="1" applyFill="1" applyBorder="1" applyAlignment="1">
      <alignment horizontal="left"/>
    </xf>
    <xf numFmtId="0" fontId="2" fillId="7" borderId="14" xfId="0" applyFont="1" applyFill="1" applyBorder="1" applyAlignment="1">
      <alignment horizontal="left"/>
    </xf>
    <xf numFmtId="0" fontId="1" fillId="7" borderId="13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vertical="center" wrapText="1"/>
    </xf>
    <xf numFmtId="2" fontId="2" fillId="4" borderId="15" xfId="0" applyNumberFormat="1" applyFont="1" applyFill="1" applyBorder="1" applyAlignment="1">
      <alignment horizontal="right" indent="1"/>
    </xf>
    <xf numFmtId="2" fontId="2" fillId="4" borderId="13" xfId="0" applyNumberFormat="1" applyFont="1" applyFill="1" applyBorder="1" applyAlignment="1">
      <alignment horizontal="right" indent="1"/>
    </xf>
    <xf numFmtId="171" fontId="2" fillId="4" borderId="11" xfId="0" applyNumberFormat="1" applyFont="1" applyFill="1" applyBorder="1" applyAlignment="1">
      <alignment horizontal="right" indent="1"/>
    </xf>
    <xf numFmtId="172" fontId="2" fillId="4" borderId="13" xfId="0" applyNumberFormat="1" applyFont="1" applyFill="1" applyBorder="1" applyAlignment="1">
      <alignment horizontal="right" indent="1"/>
    </xf>
    <xf numFmtId="0" fontId="3" fillId="3" borderId="7" xfId="0" applyFont="1" applyFill="1" applyBorder="1" applyAlignment="1">
      <alignment horizontal="center"/>
    </xf>
    <xf numFmtId="165" fontId="2" fillId="4" borderId="22" xfId="0" applyNumberFormat="1" applyFont="1" applyFill="1" applyBorder="1" applyAlignment="1">
      <alignment horizontal="right" indent="1"/>
    </xf>
    <xf numFmtId="165" fontId="2" fillId="4" borderId="11" xfId="0" applyNumberFormat="1" applyFont="1" applyFill="1" applyBorder="1" applyAlignment="1">
      <alignment horizontal="right" indent="1"/>
    </xf>
    <xf numFmtId="166" fontId="2" fillId="4" borderId="11" xfId="0" applyNumberFormat="1" applyFont="1" applyFill="1" applyBorder="1" applyAlignment="1">
      <alignment horizontal="right" indent="1"/>
    </xf>
    <xf numFmtId="1" fontId="1" fillId="6" borderId="20" xfId="0" applyNumberFormat="1" applyFont="1" applyFill="1" applyBorder="1" applyAlignment="1">
      <alignment horizontal="center"/>
    </xf>
    <xf numFmtId="1" fontId="1" fillId="6" borderId="19" xfId="0" applyNumberFormat="1" applyFont="1" applyFill="1" applyBorder="1" applyAlignment="1">
      <alignment horizontal="center"/>
    </xf>
    <xf numFmtId="1" fontId="1" fillId="6" borderId="2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" fontId="2" fillId="7" borderId="11" xfId="0" applyNumberFormat="1" applyFont="1" applyFill="1" applyBorder="1" applyAlignment="1">
      <alignment horizontal="right" indent="1"/>
    </xf>
    <xf numFmtId="0" fontId="3" fillId="3" borderId="2" xfId="0" applyFont="1" applyFill="1" applyBorder="1" applyAlignment="1">
      <alignment horizontal="right" vertical="center" wrapText="1" indent="1"/>
    </xf>
    <xf numFmtId="0" fontId="2" fillId="5" borderId="9" xfId="0" applyNumberFormat="1" applyFont="1" applyFill="1" applyBorder="1" applyAlignment="1">
      <alignment horizontal="right" indent="1"/>
    </xf>
    <xf numFmtId="0" fontId="2" fillId="5" borderId="11" xfId="0" applyNumberFormat="1" applyFont="1" applyFill="1" applyBorder="1" applyAlignment="1">
      <alignment horizontal="right" indent="1"/>
    </xf>
    <xf numFmtId="0" fontId="2" fillId="5" borderId="15" xfId="0" applyNumberFormat="1" applyFont="1" applyFill="1" applyBorder="1" applyAlignment="1">
      <alignment horizontal="right" indent="1"/>
    </xf>
    <xf numFmtId="0" fontId="2" fillId="5" borderId="13" xfId="0" applyNumberFormat="1" applyFont="1" applyFill="1" applyBorder="1" applyAlignment="1">
      <alignment horizontal="right" indent="1"/>
    </xf>
    <xf numFmtId="0" fontId="2" fillId="5" borderId="17" xfId="0" applyNumberFormat="1" applyFont="1" applyFill="1" applyBorder="1" applyAlignment="1">
      <alignment horizontal="right" indent="1"/>
    </xf>
    <xf numFmtId="167" fontId="2" fillId="5" borderId="9" xfId="0" applyNumberFormat="1" applyFont="1" applyFill="1" applyBorder="1" applyAlignment="1">
      <alignment horizontal="right" indent="1"/>
    </xf>
    <xf numFmtId="168" fontId="2" fillId="5" borderId="11" xfId="0" applyNumberFormat="1" applyFont="1" applyFill="1" applyBorder="1" applyAlignment="1">
      <alignment horizontal="right" indent="1"/>
    </xf>
    <xf numFmtId="169" fontId="2" fillId="5" borderId="11" xfId="0" applyNumberFormat="1" applyFont="1" applyFill="1" applyBorder="1" applyAlignment="1">
      <alignment horizontal="right" indent="1"/>
    </xf>
    <xf numFmtId="167" fontId="2" fillId="5" borderId="11" xfId="0" applyNumberFormat="1" applyFont="1" applyFill="1" applyBorder="1" applyAlignment="1">
      <alignment horizontal="right" indent="1"/>
    </xf>
    <xf numFmtId="170" fontId="2" fillId="5" borderId="9" xfId="0" applyNumberFormat="1" applyFont="1" applyFill="1" applyBorder="1" applyAlignment="1">
      <alignment horizontal="right" indent="1"/>
    </xf>
    <xf numFmtId="170" fontId="2" fillId="5" borderId="11" xfId="0" applyNumberFormat="1" applyFont="1" applyFill="1" applyBorder="1" applyAlignment="1">
      <alignment horizontal="right" indent="1"/>
    </xf>
    <xf numFmtId="164" fontId="2" fillId="2" borderId="0" xfId="0" applyNumberFormat="1" applyFont="1" applyFill="1" applyBorder="1" applyAlignment="1">
      <alignment horizontal="right" indent="1"/>
    </xf>
    <xf numFmtId="0" fontId="3" fillId="3" borderId="2" xfId="0" applyFont="1" applyFill="1" applyBorder="1" applyAlignment="1">
      <alignment horizontal="right" indent="1"/>
    </xf>
    <xf numFmtId="165" fontId="2" fillId="5" borderId="9" xfId="0" applyNumberFormat="1" applyFont="1" applyFill="1" applyBorder="1" applyAlignment="1">
      <alignment horizontal="right" indent="1"/>
    </xf>
    <xf numFmtId="165" fontId="2" fillId="5" borderId="11" xfId="0" applyNumberFormat="1" applyFont="1" applyFill="1" applyBorder="1" applyAlignment="1">
      <alignment horizontal="right" indent="1"/>
    </xf>
    <xf numFmtId="171" fontId="2" fillId="4" borderId="15" xfId="0" applyNumberFormat="1" applyFont="1" applyFill="1" applyBorder="1" applyAlignment="1">
      <alignment horizontal="right" indent="1"/>
    </xf>
    <xf numFmtId="173" fontId="2" fillId="4" borderId="15" xfId="0" applyNumberFormat="1" applyFont="1" applyFill="1" applyBorder="1" applyAlignment="1">
      <alignment horizontal="right" indent="1"/>
    </xf>
    <xf numFmtId="165" fontId="2" fillId="4" borderId="9" xfId="0" applyNumberFormat="1" applyFont="1" applyFill="1" applyBorder="1" applyAlignment="1">
      <alignment horizontal="right" indent="1"/>
    </xf>
    <xf numFmtId="165" fontId="2" fillId="4" borderId="15" xfId="0" applyNumberFormat="1" applyFont="1" applyFill="1" applyBorder="1" applyAlignment="1">
      <alignment horizontal="right" indent="1"/>
    </xf>
    <xf numFmtId="1" fontId="3" fillId="3" borderId="2" xfId="0" applyNumberFormat="1" applyFont="1" applyFill="1" applyBorder="1" applyAlignment="1">
      <alignment horizontal="right" indent="1"/>
    </xf>
    <xf numFmtId="1" fontId="2" fillId="5" borderId="9" xfId="0" applyNumberFormat="1" applyFont="1" applyFill="1" applyBorder="1" applyAlignment="1">
      <alignment horizontal="right" indent="1"/>
    </xf>
    <xf numFmtId="1" fontId="2" fillId="5" borderId="11" xfId="0" applyNumberFormat="1" applyFont="1" applyFill="1" applyBorder="1" applyAlignment="1">
      <alignment horizontal="right" indent="1"/>
    </xf>
    <xf numFmtId="1" fontId="2" fillId="5" borderId="15" xfId="0" applyNumberFormat="1" applyFont="1" applyFill="1" applyBorder="1" applyAlignment="1">
      <alignment horizontal="right" indent="1"/>
    </xf>
    <xf numFmtId="1" fontId="2" fillId="5" borderId="13" xfId="0" applyNumberFormat="1" applyFont="1" applyFill="1" applyBorder="1" applyAlignment="1">
      <alignment horizontal="right" indent="1"/>
    </xf>
    <xf numFmtId="165" fontId="2" fillId="5" borderId="17" xfId="0" applyNumberFormat="1" applyFont="1" applyFill="1" applyBorder="1" applyAlignment="1">
      <alignment horizontal="right" indent="1"/>
    </xf>
    <xf numFmtId="166" fontId="2" fillId="5" borderId="9" xfId="0" applyNumberFormat="1" applyFont="1" applyFill="1" applyBorder="1" applyAlignment="1">
      <alignment horizontal="right" indent="1"/>
    </xf>
    <xf numFmtId="1" fontId="2" fillId="2" borderId="0" xfId="0" applyNumberFormat="1" applyFont="1" applyFill="1" applyBorder="1" applyAlignment="1">
      <alignment horizontal="right" indent="1"/>
    </xf>
    <xf numFmtId="165" fontId="2" fillId="7" borderId="9" xfId="0" applyNumberFormat="1" applyFont="1" applyFill="1" applyBorder="1" applyAlignment="1">
      <alignment horizontal="right" indent="1"/>
    </xf>
    <xf numFmtId="167" fontId="2" fillId="7" borderId="9" xfId="0" applyNumberFormat="1" applyFont="1" applyFill="1" applyBorder="1" applyAlignment="1">
      <alignment horizontal="right" indent="1"/>
    </xf>
    <xf numFmtId="174" fontId="2" fillId="7" borderId="9" xfId="0" applyNumberFormat="1" applyFont="1" applyFill="1" applyBorder="1" applyAlignment="1">
      <alignment horizontal="right" indent="1"/>
    </xf>
    <xf numFmtId="174" fontId="2" fillId="7" borderId="11" xfId="0" applyNumberFormat="1" applyFont="1" applyFill="1" applyBorder="1" applyAlignment="1">
      <alignment horizontal="right" indent="1"/>
    </xf>
    <xf numFmtId="169" fontId="2" fillId="7" borderId="9" xfId="0" applyNumberFormat="1" applyFont="1" applyFill="1" applyBorder="1" applyAlignment="1">
      <alignment horizontal="right" indent="1"/>
    </xf>
    <xf numFmtId="0" fontId="2" fillId="7" borderId="23" xfId="0" applyNumberFormat="1" applyFont="1" applyFill="1" applyBorder="1" applyAlignment="1">
      <alignment horizontal="right" indent="1"/>
    </xf>
    <xf numFmtId="167" fontId="2" fillId="7" borderId="11" xfId="0" applyNumberFormat="1" applyFont="1" applyFill="1" applyBorder="1" applyAlignment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BFFFF"/>
      <color rgb="FFD5FFFF"/>
      <color rgb="FFFFFF66"/>
      <color rgb="FF59D9D6"/>
      <color rgb="FFC7F2F1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A746-094B-40B5-B095-84B626AB4420}">
  <sheetPr>
    <pageSetUpPr fitToPage="1"/>
  </sheetPr>
  <dimension ref="A1:L94"/>
  <sheetViews>
    <sheetView tabSelected="1" zoomScale="130" zoomScaleNormal="130" zoomScaleSheetLayoutView="100" workbookViewId="0">
      <pane xSplit="3" ySplit="2" topLeftCell="D73" activePane="bottomRight" state="frozenSplit"/>
      <selection pane="topRight" activeCell="D1" sqref="D1"/>
      <selection pane="bottomLeft" activeCell="A3" sqref="A3"/>
      <selection pane="bottomRight" activeCell="J83" sqref="J83"/>
    </sheetView>
  </sheetViews>
  <sheetFormatPr baseColWidth="10" defaultRowHeight="16.5" x14ac:dyDescent="0.3"/>
  <cols>
    <col min="1" max="1" width="5.7109375" style="4" bestFit="1" customWidth="1"/>
    <col min="2" max="2" width="5.42578125" style="2" bestFit="1" customWidth="1"/>
    <col min="3" max="3" width="11" style="1" bestFit="1" customWidth="1"/>
    <col min="4" max="4" width="35.85546875" style="169" bestFit="1" customWidth="1"/>
    <col min="5" max="5" width="5.42578125" style="3" bestFit="1" customWidth="1"/>
    <col min="6" max="6" width="11" style="5" bestFit="1" customWidth="1"/>
    <col min="7" max="7" width="39.85546875" style="154" bestFit="1" customWidth="1"/>
    <col min="8" max="8" width="5.42578125" style="3" bestFit="1" customWidth="1"/>
    <col min="9" max="9" width="11.5703125" style="5" customWidth="1"/>
    <col min="10" max="10" width="36.7109375" style="154" customWidth="1"/>
    <col min="11" max="11" width="5.42578125" style="2" bestFit="1" customWidth="1"/>
    <col min="12" max="12" width="10.5703125" style="1" bestFit="1" customWidth="1"/>
    <col min="13" max="16384" width="11.42578125" style="1"/>
  </cols>
  <sheetData>
    <row r="1" spans="1:12" x14ac:dyDescent="0.3">
      <c r="A1" s="138" t="s">
        <v>24</v>
      </c>
      <c r="B1" s="139"/>
      <c r="C1" s="140"/>
      <c r="D1" s="162"/>
      <c r="E1" s="11"/>
      <c r="F1" s="12"/>
      <c r="G1" s="142"/>
      <c r="H1" s="13"/>
      <c r="I1" s="14"/>
      <c r="J1" s="155"/>
      <c r="K1" s="15"/>
      <c r="L1" s="16"/>
    </row>
    <row r="2" spans="1:12" s="20" customFormat="1" ht="15.75" thickBot="1" x14ac:dyDescent="0.35">
      <c r="A2" s="18" t="s">
        <v>23</v>
      </c>
      <c r="B2" s="134" t="s">
        <v>31</v>
      </c>
      <c r="C2" s="135"/>
      <c r="D2" s="21" t="s">
        <v>29</v>
      </c>
      <c r="E2" s="134" t="s">
        <v>31</v>
      </c>
      <c r="F2" s="135"/>
      <c r="G2" s="127" t="s">
        <v>29</v>
      </c>
      <c r="H2" s="134" t="s">
        <v>31</v>
      </c>
      <c r="I2" s="135"/>
      <c r="J2" s="19" t="s">
        <v>29</v>
      </c>
      <c r="K2" s="136" t="s">
        <v>31</v>
      </c>
      <c r="L2" s="137"/>
    </row>
    <row r="3" spans="1:12" x14ac:dyDescent="0.3">
      <c r="A3" s="23">
        <v>1</v>
      </c>
      <c r="B3" s="8" t="s">
        <v>1</v>
      </c>
      <c r="C3" s="9" t="s">
        <v>0</v>
      </c>
      <c r="D3" s="163">
        <f>A3*1</f>
        <v>1</v>
      </c>
      <c r="E3" s="65" t="s">
        <v>1</v>
      </c>
      <c r="F3" s="66" t="s">
        <v>0</v>
      </c>
      <c r="G3" s="143">
        <f>A3/1024</f>
        <v>9.765625E-4</v>
      </c>
      <c r="H3" s="67" t="s">
        <v>6</v>
      </c>
      <c r="I3" s="68" t="s">
        <v>5</v>
      </c>
      <c r="J3" s="143"/>
      <c r="K3" s="69"/>
      <c r="L3" s="70"/>
    </row>
    <row r="4" spans="1:12" x14ac:dyDescent="0.3">
      <c r="A4" s="23">
        <v>1</v>
      </c>
      <c r="B4" s="8" t="s">
        <v>2</v>
      </c>
      <c r="C4" s="9" t="s">
        <v>25</v>
      </c>
      <c r="D4" s="164">
        <f>A4*8</f>
        <v>8</v>
      </c>
      <c r="E4" s="71" t="s">
        <v>1</v>
      </c>
      <c r="F4" s="72" t="s">
        <v>0</v>
      </c>
      <c r="G4" s="144">
        <f>A4/(1024/8)</f>
        <v>7.8125E-3</v>
      </c>
      <c r="H4" s="73" t="s">
        <v>6</v>
      </c>
      <c r="I4" s="74" t="s">
        <v>5</v>
      </c>
      <c r="J4" s="144"/>
      <c r="K4" s="75"/>
      <c r="L4" s="76"/>
    </row>
    <row r="5" spans="1:12" x14ac:dyDescent="0.3">
      <c r="A5" s="23">
        <v>1</v>
      </c>
      <c r="B5" s="8" t="s">
        <v>7</v>
      </c>
      <c r="C5" s="9" t="s">
        <v>26</v>
      </c>
      <c r="D5" s="164">
        <f>A5*8*1000</f>
        <v>8000</v>
      </c>
      <c r="E5" s="71" t="s">
        <v>1</v>
      </c>
      <c r="F5" s="72" t="s">
        <v>0</v>
      </c>
      <c r="G5" s="144">
        <f>A5*(1000/1024*8)</f>
        <v>7.8125</v>
      </c>
      <c r="H5" s="73" t="s">
        <v>6</v>
      </c>
      <c r="I5" s="74" t="s">
        <v>5</v>
      </c>
      <c r="J5" s="144"/>
      <c r="K5" s="75"/>
      <c r="L5" s="76"/>
    </row>
    <row r="6" spans="1:12" x14ac:dyDescent="0.3">
      <c r="A6" s="23">
        <v>1</v>
      </c>
      <c r="B6" s="8" t="s">
        <v>12</v>
      </c>
      <c r="C6" s="9" t="s">
        <v>27</v>
      </c>
      <c r="D6" s="164">
        <f>A6*8*1000*1000</f>
        <v>8000000</v>
      </c>
      <c r="E6" s="71" t="s">
        <v>1</v>
      </c>
      <c r="F6" s="72" t="s">
        <v>0</v>
      </c>
      <c r="G6" s="144">
        <f>A6*(1000*1000/1024*8)</f>
        <v>7812.5</v>
      </c>
      <c r="H6" s="73" t="s">
        <v>6</v>
      </c>
      <c r="I6" s="74" t="s">
        <v>5</v>
      </c>
      <c r="J6" s="144"/>
      <c r="K6" s="75"/>
      <c r="L6" s="76"/>
    </row>
    <row r="7" spans="1:12" x14ac:dyDescent="0.3">
      <c r="A7" s="23">
        <v>1</v>
      </c>
      <c r="B7" s="8" t="s">
        <v>17</v>
      </c>
      <c r="C7" s="9" t="s">
        <v>28</v>
      </c>
      <c r="D7" s="164">
        <f>A7*8*1000*1000*1000</f>
        <v>8000000000</v>
      </c>
      <c r="E7" s="71" t="s">
        <v>1</v>
      </c>
      <c r="F7" s="72" t="s">
        <v>0</v>
      </c>
      <c r="G7" s="144">
        <f>A7*(1000*1000*1000/1024*8)</f>
        <v>7812500</v>
      </c>
      <c r="H7" s="73" t="s">
        <v>6</v>
      </c>
      <c r="I7" s="74" t="s">
        <v>5</v>
      </c>
      <c r="J7" s="144"/>
      <c r="K7" s="75"/>
      <c r="L7" s="76"/>
    </row>
    <row r="8" spans="1:12" ht="17.25" thickBot="1" x14ac:dyDescent="0.35">
      <c r="A8" s="23">
        <v>1</v>
      </c>
      <c r="B8" s="8" t="s">
        <v>20</v>
      </c>
      <c r="C8" s="9" t="s">
        <v>30</v>
      </c>
      <c r="D8" s="165">
        <f>A8*8*1000*1000*1000*1000</f>
        <v>8000000000000</v>
      </c>
      <c r="E8" s="77" t="s">
        <v>1</v>
      </c>
      <c r="F8" s="78" t="s">
        <v>0</v>
      </c>
      <c r="G8" s="145">
        <f>A8*(1000*1000*1000*1000/1024*8)</f>
        <v>7812500000</v>
      </c>
      <c r="H8" s="79" t="s">
        <v>6</v>
      </c>
      <c r="I8" s="80" t="s">
        <v>5</v>
      </c>
      <c r="J8" s="145"/>
      <c r="K8" s="81"/>
      <c r="L8" s="82"/>
    </row>
    <row r="9" spans="1:12" x14ac:dyDescent="0.3">
      <c r="A9" s="24">
        <v>1</v>
      </c>
      <c r="B9" s="6" t="s">
        <v>1</v>
      </c>
      <c r="C9" s="17" t="s">
        <v>0</v>
      </c>
      <c r="D9" s="163">
        <f>A9*8</f>
        <v>8</v>
      </c>
      <c r="E9" s="65" t="s">
        <v>2</v>
      </c>
      <c r="F9" s="66" t="s">
        <v>25</v>
      </c>
      <c r="G9" s="143"/>
      <c r="H9" s="67"/>
      <c r="I9" s="68"/>
      <c r="J9" s="143"/>
      <c r="K9" s="69"/>
      <c r="L9" s="70"/>
    </row>
    <row r="10" spans="1:12" x14ac:dyDescent="0.3">
      <c r="A10" s="23">
        <v>1</v>
      </c>
      <c r="B10" s="8" t="s">
        <v>2</v>
      </c>
      <c r="C10" s="9" t="s">
        <v>25</v>
      </c>
      <c r="D10" s="164">
        <f>A10*1</f>
        <v>1</v>
      </c>
      <c r="E10" s="71" t="s">
        <v>2</v>
      </c>
      <c r="F10" s="72" t="s">
        <v>25</v>
      </c>
      <c r="G10" s="144"/>
      <c r="H10" s="73"/>
      <c r="I10" s="74"/>
      <c r="J10" s="144"/>
      <c r="K10" s="75"/>
      <c r="L10" s="76"/>
    </row>
    <row r="11" spans="1:12" x14ac:dyDescent="0.3">
      <c r="A11" s="23">
        <v>1</v>
      </c>
      <c r="B11" s="8" t="s">
        <v>7</v>
      </c>
      <c r="C11" s="9" t="s">
        <v>26</v>
      </c>
      <c r="D11" s="164">
        <f>A11*1000</f>
        <v>1000</v>
      </c>
      <c r="E11" s="71" t="s">
        <v>2</v>
      </c>
      <c r="F11" s="72" t="s">
        <v>25</v>
      </c>
      <c r="G11" s="144"/>
      <c r="H11" s="73"/>
      <c r="I11" s="74"/>
      <c r="J11" s="144"/>
      <c r="K11" s="75"/>
      <c r="L11" s="76"/>
    </row>
    <row r="12" spans="1:12" x14ac:dyDescent="0.3">
      <c r="A12" s="23">
        <v>1</v>
      </c>
      <c r="B12" s="8" t="s">
        <v>12</v>
      </c>
      <c r="C12" s="9" t="s">
        <v>27</v>
      </c>
      <c r="D12" s="164">
        <f>A12*1000*1000</f>
        <v>1000000</v>
      </c>
      <c r="E12" s="71" t="s">
        <v>2</v>
      </c>
      <c r="F12" s="72" t="s">
        <v>25</v>
      </c>
      <c r="G12" s="144"/>
      <c r="H12" s="73"/>
      <c r="I12" s="74"/>
      <c r="J12" s="144"/>
      <c r="K12" s="75"/>
      <c r="L12" s="76"/>
    </row>
    <row r="13" spans="1:12" x14ac:dyDescent="0.3">
      <c r="A13" s="23">
        <v>1</v>
      </c>
      <c r="B13" s="8" t="s">
        <v>17</v>
      </c>
      <c r="C13" s="9" t="s">
        <v>28</v>
      </c>
      <c r="D13" s="164">
        <f>A13*1000*1000*1000</f>
        <v>1000000000</v>
      </c>
      <c r="E13" s="71" t="s">
        <v>2</v>
      </c>
      <c r="F13" s="72" t="s">
        <v>25</v>
      </c>
      <c r="G13" s="144"/>
      <c r="H13" s="73"/>
      <c r="I13" s="74"/>
      <c r="J13" s="144"/>
      <c r="K13" s="75"/>
      <c r="L13" s="76"/>
    </row>
    <row r="14" spans="1:12" ht="17.25" thickBot="1" x14ac:dyDescent="0.35">
      <c r="A14" s="25">
        <v>1</v>
      </c>
      <c r="B14" s="7" t="s">
        <v>20</v>
      </c>
      <c r="C14" s="10" t="s">
        <v>30</v>
      </c>
      <c r="D14" s="166">
        <f>A14*1000*1000*1000*1000</f>
        <v>1000000000000</v>
      </c>
      <c r="E14" s="83" t="s">
        <v>2</v>
      </c>
      <c r="F14" s="84" t="s">
        <v>25</v>
      </c>
      <c r="G14" s="146"/>
      <c r="H14" s="85"/>
      <c r="I14" s="86"/>
      <c r="J14" s="146"/>
      <c r="K14" s="87"/>
      <c r="L14" s="88"/>
    </row>
    <row r="15" spans="1:12" x14ac:dyDescent="0.3">
      <c r="A15" s="23">
        <v>1</v>
      </c>
      <c r="B15" s="8" t="s">
        <v>1</v>
      </c>
      <c r="C15" s="9" t="s">
        <v>0</v>
      </c>
      <c r="D15" s="147">
        <f>A15/8/1000</f>
        <v>1.25E-4</v>
      </c>
      <c r="E15" s="89" t="s">
        <v>7</v>
      </c>
      <c r="F15" s="90" t="s">
        <v>26</v>
      </c>
      <c r="G15" s="147">
        <f>A15/(8*1024)</f>
        <v>1.220703125E-4</v>
      </c>
      <c r="H15" s="91" t="s">
        <v>9</v>
      </c>
      <c r="I15" s="92" t="s">
        <v>8</v>
      </c>
      <c r="J15" s="147">
        <f>A15/1000</f>
        <v>1E-3</v>
      </c>
      <c r="K15" s="93" t="s">
        <v>4</v>
      </c>
      <c r="L15" s="94" t="s">
        <v>3</v>
      </c>
    </row>
    <row r="16" spans="1:12" x14ac:dyDescent="0.3">
      <c r="A16" s="23">
        <v>1</v>
      </c>
      <c r="B16" s="8" t="s">
        <v>2</v>
      </c>
      <c r="C16" s="9" t="s">
        <v>25</v>
      </c>
      <c r="D16" s="144">
        <f>A16/1000</f>
        <v>1E-3</v>
      </c>
      <c r="E16" s="71" t="s">
        <v>7</v>
      </c>
      <c r="F16" s="72" t="s">
        <v>26</v>
      </c>
      <c r="G16" s="144">
        <f>A16/1024</f>
        <v>9.765625E-4</v>
      </c>
      <c r="H16" s="73" t="s">
        <v>9</v>
      </c>
      <c r="I16" s="74" t="s">
        <v>8</v>
      </c>
      <c r="J16" s="144">
        <f>A16/(1000/8)</f>
        <v>8.0000000000000002E-3</v>
      </c>
      <c r="K16" s="75" t="s">
        <v>4</v>
      </c>
      <c r="L16" s="76" t="s">
        <v>3</v>
      </c>
    </row>
    <row r="17" spans="1:12" x14ac:dyDescent="0.3">
      <c r="A17" s="23">
        <v>1</v>
      </c>
      <c r="B17" s="8" t="s">
        <v>7</v>
      </c>
      <c r="C17" s="9" t="s">
        <v>26</v>
      </c>
      <c r="D17" s="144">
        <f>A17*1</f>
        <v>1</v>
      </c>
      <c r="E17" s="71" t="s">
        <v>7</v>
      </c>
      <c r="F17" s="72" t="s">
        <v>26</v>
      </c>
      <c r="G17" s="144">
        <f>A17/(1024/1000)</f>
        <v>0.9765625</v>
      </c>
      <c r="H17" s="73" t="s">
        <v>9</v>
      </c>
      <c r="I17" s="74" t="s">
        <v>8</v>
      </c>
      <c r="J17" s="144">
        <f>A17*8</f>
        <v>8</v>
      </c>
      <c r="K17" s="75" t="s">
        <v>4</v>
      </c>
      <c r="L17" s="76" t="s">
        <v>3</v>
      </c>
    </row>
    <row r="18" spans="1:12" x14ac:dyDescent="0.3">
      <c r="A18" s="23">
        <v>1</v>
      </c>
      <c r="B18" s="8" t="s">
        <v>12</v>
      </c>
      <c r="C18" s="9" t="s">
        <v>27</v>
      </c>
      <c r="D18" s="144">
        <f>A18*1000</f>
        <v>1000</v>
      </c>
      <c r="E18" s="71" t="s">
        <v>7</v>
      </c>
      <c r="F18" s="72" t="s">
        <v>26</v>
      </c>
      <c r="G18" s="144">
        <f>A18*(1000/1024*1000)</f>
        <v>976.5625</v>
      </c>
      <c r="H18" s="73" t="s">
        <v>9</v>
      </c>
      <c r="I18" s="74" t="s">
        <v>8</v>
      </c>
      <c r="J18" s="144">
        <f>A18*8*1000</f>
        <v>8000</v>
      </c>
      <c r="K18" s="75" t="s">
        <v>4</v>
      </c>
      <c r="L18" s="76" t="s">
        <v>3</v>
      </c>
    </row>
    <row r="19" spans="1:12" x14ac:dyDescent="0.3">
      <c r="A19" s="23">
        <v>1</v>
      </c>
      <c r="B19" s="8" t="s">
        <v>17</v>
      </c>
      <c r="C19" s="9" t="s">
        <v>28</v>
      </c>
      <c r="D19" s="144">
        <f>A19*1000*1000</f>
        <v>1000000</v>
      </c>
      <c r="E19" s="71" t="s">
        <v>7</v>
      </c>
      <c r="F19" s="72" t="s">
        <v>26</v>
      </c>
      <c r="G19" s="144">
        <f>A19*(1000*1000/1024*1000)</f>
        <v>976562.5</v>
      </c>
      <c r="H19" s="73" t="s">
        <v>9</v>
      </c>
      <c r="I19" s="74" t="s">
        <v>8</v>
      </c>
      <c r="J19" s="144">
        <f>A19*8*1000*1000</f>
        <v>8000000</v>
      </c>
      <c r="K19" s="75" t="s">
        <v>4</v>
      </c>
      <c r="L19" s="76" t="s">
        <v>3</v>
      </c>
    </row>
    <row r="20" spans="1:12" ht="17.25" thickBot="1" x14ac:dyDescent="0.35">
      <c r="A20" s="23">
        <v>1</v>
      </c>
      <c r="B20" s="8" t="s">
        <v>20</v>
      </c>
      <c r="C20" s="9" t="s">
        <v>30</v>
      </c>
      <c r="D20" s="145">
        <f>A20*1000*1000*1000</f>
        <v>1000000000</v>
      </c>
      <c r="E20" s="77" t="s">
        <v>7</v>
      </c>
      <c r="F20" s="78" t="s">
        <v>26</v>
      </c>
      <c r="G20" s="144">
        <f>A20*(1000*1000*1000/1024*1000)</f>
        <v>976562500</v>
      </c>
      <c r="H20" s="79" t="s">
        <v>9</v>
      </c>
      <c r="I20" s="80" t="s">
        <v>8</v>
      </c>
      <c r="J20" s="145">
        <f>A20*8*1000*1000*1000</f>
        <v>8000000000</v>
      </c>
      <c r="K20" s="81" t="s">
        <v>4</v>
      </c>
      <c r="L20" s="82" t="s">
        <v>3</v>
      </c>
    </row>
    <row r="21" spans="1:12" x14ac:dyDescent="0.3">
      <c r="A21" s="24">
        <v>1</v>
      </c>
      <c r="B21" s="6" t="s">
        <v>1</v>
      </c>
      <c r="C21" s="17" t="s">
        <v>0</v>
      </c>
      <c r="D21" s="143">
        <f>A21/8/1000/1000</f>
        <v>1.2499999999999999E-7</v>
      </c>
      <c r="E21" s="65" t="s">
        <v>12</v>
      </c>
      <c r="F21" s="66" t="s">
        <v>27</v>
      </c>
      <c r="G21" s="148">
        <f>A21/(8*(1024*1024))</f>
        <v>1.1920928955078125E-7</v>
      </c>
      <c r="H21" s="67" t="s">
        <v>14</v>
      </c>
      <c r="I21" s="68" t="s">
        <v>13</v>
      </c>
      <c r="J21" s="143">
        <f>A21/1000/1000</f>
        <v>9.9999999999999995E-7</v>
      </c>
      <c r="K21" s="69" t="s">
        <v>11</v>
      </c>
      <c r="L21" s="70" t="s">
        <v>10</v>
      </c>
    </row>
    <row r="22" spans="1:12" x14ac:dyDescent="0.3">
      <c r="A22" s="23">
        <v>1</v>
      </c>
      <c r="B22" s="8" t="s">
        <v>2</v>
      </c>
      <c r="C22" s="9" t="s">
        <v>25</v>
      </c>
      <c r="D22" s="144">
        <f>A22/1000/1000</f>
        <v>9.9999999999999995E-7</v>
      </c>
      <c r="E22" s="71" t="s">
        <v>12</v>
      </c>
      <c r="F22" s="72" t="s">
        <v>27</v>
      </c>
      <c r="G22" s="149">
        <f>A22/(1024*1024)</f>
        <v>9.5367431640625E-7</v>
      </c>
      <c r="H22" s="73" t="s">
        <v>14</v>
      </c>
      <c r="I22" s="74" t="s">
        <v>13</v>
      </c>
      <c r="J22" s="144">
        <f>A22/(1000*1000/8)</f>
        <v>7.9999999999999996E-6</v>
      </c>
      <c r="K22" s="75" t="s">
        <v>11</v>
      </c>
      <c r="L22" s="76" t="s">
        <v>10</v>
      </c>
    </row>
    <row r="23" spans="1:12" x14ac:dyDescent="0.3">
      <c r="A23" s="23">
        <v>1</v>
      </c>
      <c r="B23" s="8" t="s">
        <v>7</v>
      </c>
      <c r="C23" s="9" t="s">
        <v>26</v>
      </c>
      <c r="D23" s="144">
        <f>A23/1000</f>
        <v>1E-3</v>
      </c>
      <c r="E23" s="71" t="s">
        <v>12</v>
      </c>
      <c r="F23" s="72" t="s">
        <v>27</v>
      </c>
      <c r="G23" s="144">
        <f>A23/(1024*1024/1000)</f>
        <v>9.5367431640625E-4</v>
      </c>
      <c r="H23" s="73" t="s">
        <v>14</v>
      </c>
      <c r="I23" s="74" t="s">
        <v>13</v>
      </c>
      <c r="J23" s="144">
        <f>A23/(1000/8)</f>
        <v>8.0000000000000002E-3</v>
      </c>
      <c r="K23" s="75" t="s">
        <v>11</v>
      </c>
      <c r="L23" s="76" t="s">
        <v>10</v>
      </c>
    </row>
    <row r="24" spans="1:12" x14ac:dyDescent="0.3">
      <c r="A24" s="23">
        <v>1</v>
      </c>
      <c r="B24" s="8" t="s">
        <v>12</v>
      </c>
      <c r="C24" s="9" t="s">
        <v>27</v>
      </c>
      <c r="D24" s="144">
        <f>A24*1</f>
        <v>1</v>
      </c>
      <c r="E24" s="71" t="s">
        <v>12</v>
      </c>
      <c r="F24" s="72" t="s">
        <v>27</v>
      </c>
      <c r="G24" s="144">
        <f>A24/(POWER((1024/1000),2))</f>
        <v>0.95367431640625</v>
      </c>
      <c r="H24" s="73" t="s">
        <v>14</v>
      </c>
      <c r="I24" s="74" t="s">
        <v>13</v>
      </c>
      <c r="J24" s="144">
        <f>A24*8</f>
        <v>8</v>
      </c>
      <c r="K24" s="75" t="s">
        <v>11</v>
      </c>
      <c r="L24" s="76" t="s">
        <v>10</v>
      </c>
    </row>
    <row r="25" spans="1:12" x14ac:dyDescent="0.3">
      <c r="A25" s="23">
        <v>1</v>
      </c>
      <c r="B25" s="8" t="s">
        <v>17</v>
      </c>
      <c r="C25" s="9" t="s">
        <v>28</v>
      </c>
      <c r="D25" s="144">
        <f>A25*1000</f>
        <v>1000</v>
      </c>
      <c r="E25" s="71" t="s">
        <v>12</v>
      </c>
      <c r="F25" s="72" t="s">
        <v>27</v>
      </c>
      <c r="G25" s="144">
        <f>A25/(POWER((1024/1000),2))*1000</f>
        <v>953.67431640625</v>
      </c>
      <c r="H25" s="73" t="s">
        <v>14</v>
      </c>
      <c r="I25" s="74" t="s">
        <v>13</v>
      </c>
      <c r="J25" s="144">
        <f>A25*8*1000</f>
        <v>8000</v>
      </c>
      <c r="K25" s="75" t="s">
        <v>11</v>
      </c>
      <c r="L25" s="76" t="s">
        <v>10</v>
      </c>
    </row>
    <row r="26" spans="1:12" ht="17.25" thickBot="1" x14ac:dyDescent="0.35">
      <c r="A26" s="25">
        <v>1</v>
      </c>
      <c r="B26" s="7" t="s">
        <v>20</v>
      </c>
      <c r="C26" s="10" t="s">
        <v>30</v>
      </c>
      <c r="D26" s="146">
        <f>A26*1000*1000</f>
        <v>1000000</v>
      </c>
      <c r="E26" s="83" t="s">
        <v>12</v>
      </c>
      <c r="F26" s="84" t="s">
        <v>27</v>
      </c>
      <c r="G26" s="144">
        <f>A26/(POWER((1024/1000),2))*1000*1000</f>
        <v>953674.31640625</v>
      </c>
      <c r="H26" s="85" t="s">
        <v>14</v>
      </c>
      <c r="I26" s="86" t="s">
        <v>13</v>
      </c>
      <c r="J26" s="146">
        <f>A26*8*1000*1000</f>
        <v>8000000</v>
      </c>
      <c r="K26" s="87" t="s">
        <v>11</v>
      </c>
      <c r="L26" s="88" t="s">
        <v>10</v>
      </c>
    </row>
    <row r="27" spans="1:12" x14ac:dyDescent="0.3">
      <c r="A27" s="23">
        <v>1</v>
      </c>
      <c r="B27" s="8" t="s">
        <v>1</v>
      </c>
      <c r="C27" s="9" t="s">
        <v>0</v>
      </c>
      <c r="D27" s="167">
        <f>A27/8/1000/1000/1000</f>
        <v>1.2499999999999998E-10</v>
      </c>
      <c r="E27" s="89" t="s">
        <v>17</v>
      </c>
      <c r="F27" s="90" t="s">
        <v>28</v>
      </c>
      <c r="G27" s="148">
        <f>A27/(8*(1024*1024*1024))</f>
        <v>1.1641532182693481E-10</v>
      </c>
      <c r="H27" s="91" t="s">
        <v>19</v>
      </c>
      <c r="I27" s="92" t="s">
        <v>18</v>
      </c>
      <c r="J27" s="147">
        <f>A27/1000/1000/1000</f>
        <v>9.9999999999999986E-10</v>
      </c>
      <c r="K27" s="93" t="s">
        <v>16</v>
      </c>
      <c r="L27" s="94" t="s">
        <v>15</v>
      </c>
    </row>
    <row r="28" spans="1:12" x14ac:dyDescent="0.3">
      <c r="A28" s="23">
        <v>1</v>
      </c>
      <c r="B28" s="8" t="s">
        <v>2</v>
      </c>
      <c r="C28" s="9" t="s">
        <v>25</v>
      </c>
      <c r="D28" s="144">
        <f>A28/1000/1000/1000</f>
        <v>9.9999999999999986E-10</v>
      </c>
      <c r="E28" s="71" t="s">
        <v>17</v>
      </c>
      <c r="F28" s="72" t="s">
        <v>28</v>
      </c>
      <c r="G28" s="150">
        <f>A28/(1024*1024*1024)</f>
        <v>9.3132257461547852E-10</v>
      </c>
      <c r="H28" s="73" t="s">
        <v>19</v>
      </c>
      <c r="I28" s="74" t="s">
        <v>18</v>
      </c>
      <c r="J28" s="144">
        <f>A28/((1000*1000*1000)/8)</f>
        <v>8.0000000000000005E-9</v>
      </c>
      <c r="K28" s="75" t="s">
        <v>16</v>
      </c>
      <c r="L28" s="76" t="s">
        <v>15</v>
      </c>
    </row>
    <row r="29" spans="1:12" x14ac:dyDescent="0.3">
      <c r="A29" s="23">
        <v>1</v>
      </c>
      <c r="B29" s="8" t="s">
        <v>7</v>
      </c>
      <c r="C29" s="9" t="s">
        <v>26</v>
      </c>
      <c r="D29" s="144">
        <f>A29/1000/1000</f>
        <v>9.9999999999999995E-7</v>
      </c>
      <c r="E29" s="71" t="s">
        <v>17</v>
      </c>
      <c r="F29" s="72" t="s">
        <v>28</v>
      </c>
      <c r="G29" s="151">
        <f>A29/(1024*1024*1024)</f>
        <v>9.3132257461547852E-10</v>
      </c>
      <c r="H29" s="73" t="s">
        <v>19</v>
      </c>
      <c r="I29" s="74" t="s">
        <v>18</v>
      </c>
      <c r="J29" s="144">
        <f>A29/((1000*1000)/8)</f>
        <v>7.9999999999999996E-6</v>
      </c>
      <c r="K29" s="75" t="s">
        <v>16</v>
      </c>
      <c r="L29" s="76" t="s">
        <v>15</v>
      </c>
    </row>
    <row r="30" spans="1:12" x14ac:dyDescent="0.3">
      <c r="A30" s="23">
        <v>1</v>
      </c>
      <c r="B30" s="8" t="s">
        <v>12</v>
      </c>
      <c r="C30" s="9" t="s">
        <v>27</v>
      </c>
      <c r="D30" s="144">
        <f>A30/1000</f>
        <v>1E-3</v>
      </c>
      <c r="E30" s="71" t="s">
        <v>17</v>
      </c>
      <c r="F30" s="72" t="s">
        <v>28</v>
      </c>
      <c r="G30" s="144">
        <f>A30/(POWER((1024/1000),3))/1000</f>
        <v>9.3132257461547841E-4</v>
      </c>
      <c r="H30" s="73" t="s">
        <v>19</v>
      </c>
      <c r="I30" s="74" t="s">
        <v>18</v>
      </c>
      <c r="J30" s="144">
        <f>A30/((1000)/8)</f>
        <v>8.0000000000000002E-3</v>
      </c>
      <c r="K30" s="75" t="s">
        <v>16</v>
      </c>
      <c r="L30" s="76" t="s">
        <v>15</v>
      </c>
    </row>
    <row r="31" spans="1:12" x14ac:dyDescent="0.3">
      <c r="A31" s="23">
        <v>1</v>
      </c>
      <c r="B31" s="8" t="s">
        <v>17</v>
      </c>
      <c r="C31" s="9" t="s">
        <v>28</v>
      </c>
      <c r="D31" s="144">
        <f>A31*1</f>
        <v>1</v>
      </c>
      <c r="E31" s="71" t="s">
        <v>17</v>
      </c>
      <c r="F31" s="72" t="s">
        <v>28</v>
      </c>
      <c r="G31" s="144">
        <f>A31/(POWER((1024/1000),3))</f>
        <v>0.9313225746154784</v>
      </c>
      <c r="H31" s="73" t="s">
        <v>19</v>
      </c>
      <c r="I31" s="74" t="s">
        <v>18</v>
      </c>
      <c r="J31" s="144">
        <f>A31*8</f>
        <v>8</v>
      </c>
      <c r="K31" s="75" t="s">
        <v>16</v>
      </c>
      <c r="L31" s="76" t="s">
        <v>15</v>
      </c>
    </row>
    <row r="32" spans="1:12" ht="17.25" thickBot="1" x14ac:dyDescent="0.35">
      <c r="A32" s="23">
        <v>1</v>
      </c>
      <c r="B32" s="8" t="s">
        <v>20</v>
      </c>
      <c r="C32" s="9" t="s">
        <v>30</v>
      </c>
      <c r="D32" s="145">
        <f>A32*1000</f>
        <v>1000</v>
      </c>
      <c r="E32" s="77" t="s">
        <v>17</v>
      </c>
      <c r="F32" s="78" t="s">
        <v>28</v>
      </c>
      <c r="G32" s="144">
        <f>A32/(POWER((1024/1000),3))*1000</f>
        <v>931.3225746154784</v>
      </c>
      <c r="H32" s="79" t="s">
        <v>19</v>
      </c>
      <c r="I32" s="80" t="s">
        <v>18</v>
      </c>
      <c r="J32" s="145">
        <f>A32*8*1000</f>
        <v>8000</v>
      </c>
      <c r="K32" s="81" t="s">
        <v>16</v>
      </c>
      <c r="L32" s="82" t="s">
        <v>15</v>
      </c>
    </row>
    <row r="33" spans="1:12" x14ac:dyDescent="0.3">
      <c r="A33" s="24">
        <v>1</v>
      </c>
      <c r="B33" s="6" t="s">
        <v>1</v>
      </c>
      <c r="C33" s="17" t="s">
        <v>0</v>
      </c>
      <c r="D33" s="168">
        <f>A33/8/1000/1000/1000/1000</f>
        <v>1.2499999999999997E-13</v>
      </c>
      <c r="E33" s="65" t="s">
        <v>20</v>
      </c>
      <c r="F33" s="66" t="s">
        <v>30</v>
      </c>
      <c r="G33" s="152">
        <f>A33/(8*(1024*1024*1024*1024))</f>
        <v>1.1368683772161603E-13</v>
      </c>
      <c r="H33" s="67" t="s">
        <v>22</v>
      </c>
      <c r="I33" s="68" t="s">
        <v>21</v>
      </c>
      <c r="J33" s="156">
        <f>A33/1000/1000/1000/1000</f>
        <v>9.9999999999999978E-13</v>
      </c>
      <c r="K33" s="69" t="s">
        <v>32</v>
      </c>
      <c r="L33" s="70" t="s">
        <v>33</v>
      </c>
    </row>
    <row r="34" spans="1:12" x14ac:dyDescent="0.3">
      <c r="A34" s="23">
        <v>1</v>
      </c>
      <c r="B34" s="8" t="s">
        <v>2</v>
      </c>
      <c r="C34" s="9" t="s">
        <v>25</v>
      </c>
      <c r="D34" s="157">
        <f>A34/1000/1000/1000/1000</f>
        <v>9.9999999999999978E-13</v>
      </c>
      <c r="E34" s="71" t="s">
        <v>20</v>
      </c>
      <c r="F34" s="72" t="s">
        <v>30</v>
      </c>
      <c r="G34" s="153">
        <f>A34/(1024*1024*1024*1024)</f>
        <v>9.0949470177292824E-13</v>
      </c>
      <c r="H34" s="73" t="s">
        <v>22</v>
      </c>
      <c r="I34" s="74" t="s">
        <v>21</v>
      </c>
      <c r="J34" s="157">
        <f>A34/((1000*1000*1000*1000)/8)</f>
        <v>7.9999999999999998E-12</v>
      </c>
      <c r="K34" s="75" t="s">
        <v>32</v>
      </c>
      <c r="L34" s="76" t="s">
        <v>33</v>
      </c>
    </row>
    <row r="35" spans="1:12" x14ac:dyDescent="0.3">
      <c r="A35" s="23">
        <v>1</v>
      </c>
      <c r="B35" s="8" t="s">
        <v>7</v>
      </c>
      <c r="C35" s="9" t="s">
        <v>26</v>
      </c>
      <c r="D35" s="144">
        <f>A35/1000/1000/1000</f>
        <v>9.9999999999999986E-10</v>
      </c>
      <c r="E35" s="71" t="s">
        <v>20</v>
      </c>
      <c r="F35" s="72" t="s">
        <v>30</v>
      </c>
      <c r="G35" s="150">
        <f>A35/(1024*1024*1024*1024)*1000</f>
        <v>9.0949470177292824E-10</v>
      </c>
      <c r="H35" s="73" t="s">
        <v>22</v>
      </c>
      <c r="I35" s="74" t="s">
        <v>21</v>
      </c>
      <c r="J35" s="144">
        <f>A35/(1000*1000*1000/8)</f>
        <v>8.0000000000000005E-9</v>
      </c>
      <c r="K35" s="75" t="s">
        <v>32</v>
      </c>
      <c r="L35" s="76" t="s">
        <v>33</v>
      </c>
    </row>
    <row r="36" spans="1:12" x14ac:dyDescent="0.3">
      <c r="A36" s="23">
        <v>1</v>
      </c>
      <c r="B36" s="8" t="s">
        <v>12</v>
      </c>
      <c r="C36" s="9" t="s">
        <v>27</v>
      </c>
      <c r="D36" s="144">
        <f>A36/1000/1000</f>
        <v>9.9999999999999995E-7</v>
      </c>
      <c r="E36" s="71" t="s">
        <v>20</v>
      </c>
      <c r="F36" s="72" t="s">
        <v>30</v>
      </c>
      <c r="G36" s="151">
        <f>A36/(1024*1024*1024*1024)*1000*1000</f>
        <v>9.0949470177292824E-7</v>
      </c>
      <c r="H36" s="73" t="s">
        <v>22</v>
      </c>
      <c r="I36" s="74" t="s">
        <v>21</v>
      </c>
      <c r="J36" s="144">
        <f>A36/(1000*1000/8)</f>
        <v>7.9999999999999996E-6</v>
      </c>
      <c r="K36" s="75" t="s">
        <v>32</v>
      </c>
      <c r="L36" s="76" t="s">
        <v>33</v>
      </c>
    </row>
    <row r="37" spans="1:12" x14ac:dyDescent="0.3">
      <c r="A37" s="23">
        <v>1</v>
      </c>
      <c r="B37" s="8" t="s">
        <v>17</v>
      </c>
      <c r="C37" s="9" t="s">
        <v>28</v>
      </c>
      <c r="D37" s="144">
        <f>A37/1000</f>
        <v>1E-3</v>
      </c>
      <c r="E37" s="71" t="s">
        <v>20</v>
      </c>
      <c r="F37" s="72" t="s">
        <v>30</v>
      </c>
      <c r="G37" s="144">
        <f>A37/(1024*1024*1024*1024)*1000*1000*1000</f>
        <v>9.0949470177292824E-4</v>
      </c>
      <c r="H37" s="73" t="s">
        <v>22</v>
      </c>
      <c r="I37" s="74" t="s">
        <v>21</v>
      </c>
      <c r="J37" s="144">
        <f>A37/(1000/8)</f>
        <v>8.0000000000000002E-3</v>
      </c>
      <c r="K37" s="75" t="s">
        <v>32</v>
      </c>
      <c r="L37" s="76" t="s">
        <v>33</v>
      </c>
    </row>
    <row r="38" spans="1:12" ht="17.25" thickBot="1" x14ac:dyDescent="0.35">
      <c r="A38" s="25">
        <v>1</v>
      </c>
      <c r="B38" s="7" t="s">
        <v>20</v>
      </c>
      <c r="C38" s="10" t="s">
        <v>30</v>
      </c>
      <c r="D38" s="146">
        <f>A38*1</f>
        <v>1</v>
      </c>
      <c r="E38" s="83" t="s">
        <v>20</v>
      </c>
      <c r="F38" s="84" t="s">
        <v>30</v>
      </c>
      <c r="G38" s="146">
        <f>A38/(1024*1024*1024*1024)*1000*1000*1000*1000</f>
        <v>0.90949470177292824</v>
      </c>
      <c r="H38" s="85" t="s">
        <v>22</v>
      </c>
      <c r="I38" s="86" t="s">
        <v>21</v>
      </c>
      <c r="J38" s="146">
        <f>A38*8</f>
        <v>8</v>
      </c>
      <c r="K38" s="87" t="s">
        <v>32</v>
      </c>
      <c r="L38" s="88" t="s">
        <v>33</v>
      </c>
    </row>
    <row r="39" spans="1:12" ht="17.25" thickBot="1" x14ac:dyDescent="0.35">
      <c r="A39" s="13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3"/>
    </row>
    <row r="40" spans="1:12" x14ac:dyDescent="0.3">
      <c r="A40" s="24">
        <v>1</v>
      </c>
      <c r="B40" s="22" t="s">
        <v>6</v>
      </c>
      <c r="C40" s="17" t="s">
        <v>5</v>
      </c>
      <c r="D40" s="26"/>
      <c r="E40" s="27"/>
      <c r="F40" s="28"/>
      <c r="G40" s="26">
        <f>A40*1024</f>
        <v>1024</v>
      </c>
      <c r="H40" s="29" t="s">
        <v>1</v>
      </c>
      <c r="I40" s="30" t="s">
        <v>0</v>
      </c>
      <c r="J40" s="26"/>
      <c r="K40" s="31"/>
      <c r="L40" s="32"/>
    </row>
    <row r="41" spans="1:12" x14ac:dyDescent="0.3">
      <c r="A41" s="23">
        <v>1</v>
      </c>
      <c r="B41" s="8" t="s">
        <v>9</v>
      </c>
      <c r="C41" s="9" t="s">
        <v>8</v>
      </c>
      <c r="D41" s="33"/>
      <c r="E41" s="34"/>
      <c r="F41" s="35"/>
      <c r="G41" s="33">
        <f>A41*8*1024</f>
        <v>8192</v>
      </c>
      <c r="H41" s="36" t="s">
        <v>1</v>
      </c>
      <c r="I41" s="37" t="s">
        <v>0</v>
      </c>
      <c r="J41" s="33"/>
      <c r="K41" s="38"/>
      <c r="L41" s="39"/>
    </row>
    <row r="42" spans="1:12" x14ac:dyDescent="0.3">
      <c r="A42" s="23">
        <v>1</v>
      </c>
      <c r="B42" s="8" t="s">
        <v>14</v>
      </c>
      <c r="C42" s="9" t="s">
        <v>13</v>
      </c>
      <c r="D42" s="33"/>
      <c r="E42" s="34"/>
      <c r="F42" s="35"/>
      <c r="G42" s="33">
        <f>A42*8*1024*1024</f>
        <v>8388608</v>
      </c>
      <c r="H42" s="36" t="s">
        <v>1</v>
      </c>
      <c r="I42" s="37" t="s">
        <v>0</v>
      </c>
      <c r="J42" s="33"/>
      <c r="K42" s="38"/>
      <c r="L42" s="39"/>
    </row>
    <row r="43" spans="1:12" x14ac:dyDescent="0.3">
      <c r="A43" s="23">
        <v>1</v>
      </c>
      <c r="B43" s="8" t="s">
        <v>19</v>
      </c>
      <c r="C43" s="9" t="s">
        <v>18</v>
      </c>
      <c r="D43" s="33"/>
      <c r="E43" s="34"/>
      <c r="F43" s="35"/>
      <c r="G43" s="33">
        <f>A43*8*1024*1024*1024</f>
        <v>8589934592</v>
      </c>
      <c r="H43" s="36" t="s">
        <v>1</v>
      </c>
      <c r="I43" s="37" t="s">
        <v>0</v>
      </c>
      <c r="J43" s="33"/>
      <c r="K43" s="38"/>
      <c r="L43" s="39"/>
    </row>
    <row r="44" spans="1:12" ht="17.25" thickBot="1" x14ac:dyDescent="0.35">
      <c r="A44" s="23">
        <v>1</v>
      </c>
      <c r="B44" s="8" t="s">
        <v>22</v>
      </c>
      <c r="C44" s="9" t="s">
        <v>21</v>
      </c>
      <c r="D44" s="40"/>
      <c r="E44" s="41"/>
      <c r="F44" s="42"/>
      <c r="G44" s="123">
        <f>A44*8*1024*1024*1024*1024</f>
        <v>8796093022208</v>
      </c>
      <c r="H44" s="44" t="s">
        <v>1</v>
      </c>
      <c r="I44" s="45" t="s">
        <v>0</v>
      </c>
      <c r="J44" s="43"/>
      <c r="K44" s="46"/>
      <c r="L44" s="47"/>
    </row>
    <row r="45" spans="1:12" x14ac:dyDescent="0.3">
      <c r="A45" s="24">
        <v>1</v>
      </c>
      <c r="B45" s="22" t="s">
        <v>6</v>
      </c>
      <c r="C45" s="17" t="s">
        <v>5</v>
      </c>
      <c r="D45" s="26">
        <f>A45*1</f>
        <v>1</v>
      </c>
      <c r="E45" s="27" t="s">
        <v>6</v>
      </c>
      <c r="F45" s="28" t="s">
        <v>5</v>
      </c>
      <c r="G45" s="26">
        <f>A45*1024/8</f>
        <v>128</v>
      </c>
      <c r="H45" s="29" t="s">
        <v>2</v>
      </c>
      <c r="I45" s="30" t="s">
        <v>25</v>
      </c>
      <c r="J45" s="26"/>
      <c r="K45" s="31"/>
      <c r="L45" s="32"/>
    </row>
    <row r="46" spans="1:12" x14ac:dyDescent="0.3">
      <c r="A46" s="23">
        <v>1</v>
      </c>
      <c r="B46" s="8" t="s">
        <v>9</v>
      </c>
      <c r="C46" s="9" t="s">
        <v>8</v>
      </c>
      <c r="D46" s="33">
        <f>A46*8</f>
        <v>8</v>
      </c>
      <c r="E46" s="34" t="s">
        <v>6</v>
      </c>
      <c r="F46" s="35" t="s">
        <v>5</v>
      </c>
      <c r="G46" s="33">
        <f>A46*1024</f>
        <v>1024</v>
      </c>
      <c r="H46" s="36" t="s">
        <v>2</v>
      </c>
      <c r="I46" s="37" t="s">
        <v>25</v>
      </c>
      <c r="J46" s="33"/>
      <c r="K46" s="38"/>
      <c r="L46" s="39"/>
    </row>
    <row r="47" spans="1:12" x14ac:dyDescent="0.3">
      <c r="A47" s="23">
        <v>1</v>
      </c>
      <c r="B47" s="8" t="s">
        <v>14</v>
      </c>
      <c r="C47" s="9" t="s">
        <v>13</v>
      </c>
      <c r="D47" s="33">
        <f>A47*8*1024</f>
        <v>8192</v>
      </c>
      <c r="E47" s="34" t="s">
        <v>6</v>
      </c>
      <c r="F47" s="35" t="s">
        <v>5</v>
      </c>
      <c r="G47" s="33">
        <f>A47*1024*1024</f>
        <v>1048576</v>
      </c>
      <c r="H47" s="36" t="s">
        <v>2</v>
      </c>
      <c r="I47" s="37" t="s">
        <v>25</v>
      </c>
      <c r="J47" s="33"/>
      <c r="K47" s="38"/>
      <c r="L47" s="39"/>
    </row>
    <row r="48" spans="1:12" x14ac:dyDescent="0.3">
      <c r="A48" s="23">
        <v>1</v>
      </c>
      <c r="B48" s="8" t="s">
        <v>19</v>
      </c>
      <c r="C48" s="9" t="s">
        <v>18</v>
      </c>
      <c r="D48" s="33">
        <f>A48*8*1024*1024</f>
        <v>8388608</v>
      </c>
      <c r="E48" s="34" t="s">
        <v>6</v>
      </c>
      <c r="F48" s="35" t="s">
        <v>5</v>
      </c>
      <c r="G48" s="33">
        <f>A48*1024*1024*1024</f>
        <v>1073741824</v>
      </c>
      <c r="H48" s="36" t="s">
        <v>2</v>
      </c>
      <c r="I48" s="37" t="s">
        <v>25</v>
      </c>
      <c r="J48" s="33"/>
      <c r="K48" s="38"/>
      <c r="L48" s="39"/>
    </row>
    <row r="49" spans="1:12" ht="17.25" thickBot="1" x14ac:dyDescent="0.35">
      <c r="A49" s="25">
        <v>1</v>
      </c>
      <c r="B49" s="7" t="s">
        <v>22</v>
      </c>
      <c r="C49" s="10" t="s">
        <v>21</v>
      </c>
      <c r="D49" s="40">
        <f>A49*8*1024*1024*1024</f>
        <v>8589934592</v>
      </c>
      <c r="E49" s="48" t="s">
        <v>6</v>
      </c>
      <c r="F49" s="49" t="s">
        <v>5</v>
      </c>
      <c r="G49" s="124">
        <f>A49*1024*1024*1024*1024</f>
        <v>1099511627776</v>
      </c>
      <c r="H49" s="50" t="s">
        <v>2</v>
      </c>
      <c r="I49" s="51" t="s">
        <v>25</v>
      </c>
      <c r="J49" s="40"/>
      <c r="K49" s="52"/>
      <c r="L49" s="53"/>
    </row>
    <row r="50" spans="1:12" x14ac:dyDescent="0.3">
      <c r="A50" s="23">
        <v>1</v>
      </c>
      <c r="B50" s="8" t="s">
        <v>6</v>
      </c>
      <c r="C50" s="9" t="s">
        <v>5</v>
      </c>
      <c r="D50" s="54">
        <f>A50/8</f>
        <v>0.125</v>
      </c>
      <c r="E50" s="55" t="s">
        <v>9</v>
      </c>
      <c r="F50" s="56" t="s">
        <v>8</v>
      </c>
      <c r="G50" s="54">
        <f>A50/(8/1024*1000)</f>
        <v>0.128</v>
      </c>
      <c r="H50" s="57" t="s">
        <v>7</v>
      </c>
      <c r="I50" s="58" t="s">
        <v>26</v>
      </c>
      <c r="J50" s="54">
        <f>A50*1.024</f>
        <v>1.024</v>
      </c>
      <c r="K50" s="59" t="s">
        <v>4</v>
      </c>
      <c r="L50" s="60" t="s">
        <v>3</v>
      </c>
    </row>
    <row r="51" spans="1:12" x14ac:dyDescent="0.3">
      <c r="A51" s="23">
        <v>1</v>
      </c>
      <c r="B51" s="8" t="s">
        <v>9</v>
      </c>
      <c r="C51" s="9" t="s">
        <v>8</v>
      </c>
      <c r="D51" s="33">
        <f>A51*1</f>
        <v>1</v>
      </c>
      <c r="E51" s="34" t="s">
        <v>9</v>
      </c>
      <c r="F51" s="35" t="s">
        <v>8</v>
      </c>
      <c r="G51" s="33">
        <f>A51*1.024</f>
        <v>1.024</v>
      </c>
      <c r="H51" s="36" t="s">
        <v>7</v>
      </c>
      <c r="I51" s="37" t="s">
        <v>26</v>
      </c>
      <c r="J51" s="33">
        <f>A51*(8*1024/1000)</f>
        <v>8.1920000000000002</v>
      </c>
      <c r="K51" s="38" t="s">
        <v>4</v>
      </c>
      <c r="L51" s="39" t="s">
        <v>3</v>
      </c>
    </row>
    <row r="52" spans="1:12" x14ac:dyDescent="0.3">
      <c r="A52" s="23">
        <v>1</v>
      </c>
      <c r="B52" s="8" t="s">
        <v>14</v>
      </c>
      <c r="C52" s="9" t="s">
        <v>13</v>
      </c>
      <c r="D52" s="33">
        <f>A52*1024</f>
        <v>1024</v>
      </c>
      <c r="E52" s="34" t="s">
        <v>9</v>
      </c>
      <c r="F52" s="35" t="s">
        <v>8</v>
      </c>
      <c r="G52" s="33">
        <f>A52*(1.024^2)*1000</f>
        <v>1048.576</v>
      </c>
      <c r="H52" s="36" t="s">
        <v>7</v>
      </c>
      <c r="I52" s="37" t="s">
        <v>26</v>
      </c>
      <c r="J52" s="33">
        <f>A52*(8*1024^2/1000)</f>
        <v>8388.6080000000002</v>
      </c>
      <c r="K52" s="38" t="s">
        <v>4</v>
      </c>
      <c r="L52" s="39" t="s">
        <v>3</v>
      </c>
    </row>
    <row r="53" spans="1:12" x14ac:dyDescent="0.3">
      <c r="A53" s="23">
        <v>1</v>
      </c>
      <c r="B53" s="8" t="s">
        <v>19</v>
      </c>
      <c r="C53" s="9" t="s">
        <v>18</v>
      </c>
      <c r="D53" s="33">
        <f>A53*1024*1024</f>
        <v>1048576</v>
      </c>
      <c r="E53" s="34" t="s">
        <v>9</v>
      </c>
      <c r="F53" s="35" t="s">
        <v>8</v>
      </c>
      <c r="G53" s="33">
        <f>A53*(1.024^3)*1000*1000</f>
        <v>1073741.8240000003</v>
      </c>
      <c r="H53" s="36" t="s">
        <v>7</v>
      </c>
      <c r="I53" s="37" t="s">
        <v>26</v>
      </c>
      <c r="J53" s="33">
        <f>A53*(8*1024^3/1000)*1000</f>
        <v>8589934592</v>
      </c>
      <c r="K53" s="38" t="s">
        <v>4</v>
      </c>
      <c r="L53" s="39" t="s">
        <v>3</v>
      </c>
    </row>
    <row r="54" spans="1:12" ht="17.25" thickBot="1" x14ac:dyDescent="0.35">
      <c r="A54" s="23">
        <v>1</v>
      </c>
      <c r="B54" s="8" t="s">
        <v>22</v>
      </c>
      <c r="C54" s="9" t="s">
        <v>21</v>
      </c>
      <c r="D54" s="43">
        <f>A54*1024*1024*1024</f>
        <v>1073741824</v>
      </c>
      <c r="E54" s="41" t="s">
        <v>9</v>
      </c>
      <c r="F54" s="42" t="s">
        <v>8</v>
      </c>
      <c r="G54" s="125">
        <f>A54*(1.024^4)*1000*1000*1000</f>
        <v>1099511627.7760003</v>
      </c>
      <c r="H54" s="44" t="s">
        <v>7</v>
      </c>
      <c r="I54" s="45" t="s">
        <v>26</v>
      </c>
      <c r="J54" s="158">
        <f>A54*(8*1024^4/1000)</f>
        <v>8796093022.2080002</v>
      </c>
      <c r="K54" s="46" t="s">
        <v>4</v>
      </c>
      <c r="L54" s="47" t="s">
        <v>3</v>
      </c>
    </row>
    <row r="55" spans="1:12" x14ac:dyDescent="0.3">
      <c r="A55" s="24">
        <v>1</v>
      </c>
      <c r="B55" s="22" t="s">
        <v>6</v>
      </c>
      <c r="C55" s="17" t="s">
        <v>5</v>
      </c>
      <c r="D55" s="26">
        <f>A55/8/1024</f>
        <v>1.220703125E-4</v>
      </c>
      <c r="E55" s="27" t="s">
        <v>14</v>
      </c>
      <c r="F55" s="28" t="s">
        <v>13</v>
      </c>
      <c r="G55" s="26">
        <f>A55/(8/1024*1000*1000)</f>
        <v>1.2799999999999999E-4</v>
      </c>
      <c r="H55" s="29" t="s">
        <v>12</v>
      </c>
      <c r="I55" s="30" t="s">
        <v>27</v>
      </c>
      <c r="J55" s="26">
        <f>A55*1.024/1000</f>
        <v>1.024E-3</v>
      </c>
      <c r="K55" s="31" t="s">
        <v>11</v>
      </c>
      <c r="L55" s="32" t="s">
        <v>10</v>
      </c>
    </row>
    <row r="56" spans="1:12" x14ac:dyDescent="0.3">
      <c r="A56" s="23">
        <v>1</v>
      </c>
      <c r="B56" s="8" t="s">
        <v>9</v>
      </c>
      <c r="C56" s="9" t="s">
        <v>8</v>
      </c>
      <c r="D56" s="33">
        <f>A56/1024</f>
        <v>9.765625E-4</v>
      </c>
      <c r="E56" s="34" t="s">
        <v>14</v>
      </c>
      <c r="F56" s="35" t="s">
        <v>13</v>
      </c>
      <c r="G56" s="33">
        <f>A56*1.024/1000</f>
        <v>1.024E-3</v>
      </c>
      <c r="H56" s="36" t="s">
        <v>12</v>
      </c>
      <c r="I56" s="37" t="s">
        <v>27</v>
      </c>
      <c r="J56" s="33">
        <f>A56*(8*1024/1000)/1000</f>
        <v>8.1919999999999996E-3</v>
      </c>
      <c r="K56" s="38" t="s">
        <v>11</v>
      </c>
      <c r="L56" s="39" t="s">
        <v>10</v>
      </c>
    </row>
    <row r="57" spans="1:12" x14ac:dyDescent="0.3">
      <c r="A57" s="23">
        <v>1</v>
      </c>
      <c r="B57" s="8" t="s">
        <v>14</v>
      </c>
      <c r="C57" s="9" t="s">
        <v>13</v>
      </c>
      <c r="D57" s="33">
        <f>A57*1</f>
        <v>1</v>
      </c>
      <c r="E57" s="34" t="s">
        <v>14</v>
      </c>
      <c r="F57" s="35" t="s">
        <v>13</v>
      </c>
      <c r="G57" s="33">
        <f>A57*1.024^2</f>
        <v>1.048576</v>
      </c>
      <c r="H57" s="36" t="s">
        <v>12</v>
      </c>
      <c r="I57" s="37" t="s">
        <v>27</v>
      </c>
      <c r="J57" s="33">
        <f>A57*(8*1024^2/1000)/1000</f>
        <v>8.3886079999999996</v>
      </c>
      <c r="K57" s="38" t="s">
        <v>11</v>
      </c>
      <c r="L57" s="39" t="s">
        <v>10</v>
      </c>
    </row>
    <row r="58" spans="1:12" x14ac:dyDescent="0.3">
      <c r="A58" s="23">
        <v>1</v>
      </c>
      <c r="B58" s="8" t="s">
        <v>19</v>
      </c>
      <c r="C58" s="9" t="s">
        <v>18</v>
      </c>
      <c r="D58" s="33">
        <f>A58*1024</f>
        <v>1024</v>
      </c>
      <c r="E58" s="34" t="s">
        <v>14</v>
      </c>
      <c r="F58" s="35" t="s">
        <v>13</v>
      </c>
      <c r="G58" s="33">
        <f>A58*1.024^3*1000</f>
        <v>1073.7418240000002</v>
      </c>
      <c r="H58" s="36" t="s">
        <v>12</v>
      </c>
      <c r="I58" s="37" t="s">
        <v>27</v>
      </c>
      <c r="J58" s="33">
        <f>A58*((8*1024^3/1000)*1000)/1000/1000</f>
        <v>8589.9345919999996</v>
      </c>
      <c r="K58" s="38" t="s">
        <v>11</v>
      </c>
      <c r="L58" s="39" t="s">
        <v>10</v>
      </c>
    </row>
    <row r="59" spans="1:12" ht="17.25" thickBot="1" x14ac:dyDescent="0.35">
      <c r="A59" s="25">
        <v>1</v>
      </c>
      <c r="B59" s="7" t="s">
        <v>22</v>
      </c>
      <c r="C59" s="10" t="s">
        <v>21</v>
      </c>
      <c r="D59" s="40">
        <f>A59*1024*1024</f>
        <v>1048576</v>
      </c>
      <c r="E59" s="48" t="s">
        <v>14</v>
      </c>
      <c r="F59" s="49" t="s">
        <v>13</v>
      </c>
      <c r="G59" s="126">
        <f>A59*1.024^4*1000*1000</f>
        <v>1099511.6277760002</v>
      </c>
      <c r="H59" s="50" t="s">
        <v>12</v>
      </c>
      <c r="I59" s="51" t="s">
        <v>27</v>
      </c>
      <c r="J59" s="158">
        <f>A59*((8*1024^4/1000))/1000</f>
        <v>8796093.0222079996</v>
      </c>
      <c r="K59" s="52" t="s">
        <v>11</v>
      </c>
      <c r="L59" s="53" t="s">
        <v>10</v>
      </c>
    </row>
    <row r="60" spans="1:12" x14ac:dyDescent="0.3">
      <c r="A60" s="23">
        <v>1</v>
      </c>
      <c r="B60" s="8" t="s">
        <v>6</v>
      </c>
      <c r="C60" s="9" t="s">
        <v>5</v>
      </c>
      <c r="D60" s="61">
        <f>A60/8/1024/1024</f>
        <v>1.1920928955078125E-7</v>
      </c>
      <c r="E60" s="55" t="s">
        <v>19</v>
      </c>
      <c r="F60" s="56" t="s">
        <v>18</v>
      </c>
      <c r="G60" s="54">
        <f>A60/(8/1024*1000*1000*1000)</f>
        <v>1.2800000000000001E-7</v>
      </c>
      <c r="H60" s="57" t="s">
        <v>17</v>
      </c>
      <c r="I60" s="58" t="s">
        <v>28</v>
      </c>
      <c r="J60" s="26">
        <f>A60*1.024/1000/1000</f>
        <v>1.0239999999999999E-6</v>
      </c>
      <c r="K60" s="59" t="s">
        <v>16</v>
      </c>
      <c r="L60" s="60" t="s">
        <v>15</v>
      </c>
    </row>
    <row r="61" spans="1:12" x14ac:dyDescent="0.3">
      <c r="A61" s="23">
        <v>1</v>
      </c>
      <c r="B61" s="8" t="s">
        <v>9</v>
      </c>
      <c r="C61" s="9" t="s">
        <v>8</v>
      </c>
      <c r="D61" s="62">
        <f>A61/1024/1024</f>
        <v>9.5367431640625E-7</v>
      </c>
      <c r="E61" s="34" t="s">
        <v>19</v>
      </c>
      <c r="F61" s="35" t="s">
        <v>18</v>
      </c>
      <c r="G61" s="33">
        <f>A61*1.024/(1000*1000)</f>
        <v>1.0240000000000001E-6</v>
      </c>
      <c r="H61" s="36" t="s">
        <v>17</v>
      </c>
      <c r="I61" s="37" t="s">
        <v>28</v>
      </c>
      <c r="J61" s="33">
        <f>A61*(8*1024/1000)/1000/1000</f>
        <v>8.1919999999999988E-6</v>
      </c>
      <c r="K61" s="38" t="s">
        <v>16</v>
      </c>
      <c r="L61" s="39" t="s">
        <v>15</v>
      </c>
    </row>
    <row r="62" spans="1:12" x14ac:dyDescent="0.3">
      <c r="A62" s="23">
        <v>1</v>
      </c>
      <c r="B62" s="8" t="s">
        <v>14</v>
      </c>
      <c r="C62" s="9" t="s">
        <v>13</v>
      </c>
      <c r="D62" s="33">
        <f>A62/1024</f>
        <v>9.765625E-4</v>
      </c>
      <c r="E62" s="34" t="s">
        <v>19</v>
      </c>
      <c r="F62" s="35" t="s">
        <v>18</v>
      </c>
      <c r="G62" s="33">
        <f>A62*1.024^2/1000</f>
        <v>1.0485759999999998E-3</v>
      </c>
      <c r="H62" s="36" t="s">
        <v>17</v>
      </c>
      <c r="I62" s="37" t="s">
        <v>28</v>
      </c>
      <c r="J62" s="33">
        <f>A62*(8*1024^2/1000)/1000/1000</f>
        <v>8.3886079999999988E-3</v>
      </c>
      <c r="K62" s="38" t="s">
        <v>16</v>
      </c>
      <c r="L62" s="39" t="s">
        <v>15</v>
      </c>
    </row>
    <row r="63" spans="1:12" x14ac:dyDescent="0.3">
      <c r="A63" s="23">
        <v>1</v>
      </c>
      <c r="B63" s="8" t="s">
        <v>19</v>
      </c>
      <c r="C63" s="9" t="s">
        <v>18</v>
      </c>
      <c r="D63" s="33">
        <f>A63*1</f>
        <v>1</v>
      </c>
      <c r="E63" s="34" t="s">
        <v>19</v>
      </c>
      <c r="F63" s="35" t="s">
        <v>18</v>
      </c>
      <c r="G63" s="33">
        <f>A63*1.024^3</f>
        <v>1.0737418240000001</v>
      </c>
      <c r="H63" s="36" t="s">
        <v>17</v>
      </c>
      <c r="I63" s="37" t="s">
        <v>28</v>
      </c>
      <c r="J63" s="33">
        <f>A63*((8*1024^3/1000)*1000)/1000/1000/1000</f>
        <v>8.5899345919999988</v>
      </c>
      <c r="K63" s="38" t="s">
        <v>16</v>
      </c>
      <c r="L63" s="39" t="s">
        <v>15</v>
      </c>
    </row>
    <row r="64" spans="1:12" ht="17.25" thickBot="1" x14ac:dyDescent="0.35">
      <c r="A64" s="23">
        <v>1</v>
      </c>
      <c r="B64" s="8" t="s">
        <v>22</v>
      </c>
      <c r="C64" s="9" t="s">
        <v>21</v>
      </c>
      <c r="D64" s="43">
        <f>A64*1024</f>
        <v>1024</v>
      </c>
      <c r="E64" s="41" t="s">
        <v>19</v>
      </c>
      <c r="F64" s="42" t="s">
        <v>18</v>
      </c>
      <c r="G64" s="43">
        <f>A64*1.024^4*1000</f>
        <v>1099.5116277760001</v>
      </c>
      <c r="H64" s="44" t="s">
        <v>17</v>
      </c>
      <c r="I64" s="45" t="s">
        <v>28</v>
      </c>
      <c r="J64" s="159">
        <f>A64*((8*1024^4/1000))/1000/1000</f>
        <v>8796.0930222079987</v>
      </c>
      <c r="K64" s="46" t="s">
        <v>16</v>
      </c>
      <c r="L64" s="47" t="s">
        <v>15</v>
      </c>
    </row>
    <row r="65" spans="1:12" x14ac:dyDescent="0.3">
      <c r="A65" s="24">
        <v>1</v>
      </c>
      <c r="B65" s="22" t="s">
        <v>6</v>
      </c>
      <c r="C65" s="17" t="s">
        <v>5</v>
      </c>
      <c r="D65" s="63">
        <f>A65/8/1024/1024/1024</f>
        <v>1.1641532182693481E-10</v>
      </c>
      <c r="E65" s="27" t="s">
        <v>22</v>
      </c>
      <c r="F65" s="28" t="s">
        <v>21</v>
      </c>
      <c r="G65" s="128">
        <f>A65/(8/1024*1000*1000*1000*1000)</f>
        <v>1.28E-10</v>
      </c>
      <c r="H65" s="29" t="s">
        <v>20</v>
      </c>
      <c r="I65" s="30" t="s">
        <v>30</v>
      </c>
      <c r="J65" s="160">
        <f>A65*1.024/1000/1000/1000</f>
        <v>1.0239999999999998E-9</v>
      </c>
      <c r="K65" s="31" t="s">
        <v>32</v>
      </c>
      <c r="L65" s="32" t="s">
        <v>33</v>
      </c>
    </row>
    <row r="66" spans="1:12" x14ac:dyDescent="0.3">
      <c r="A66" s="23">
        <v>1</v>
      </c>
      <c r="B66" s="8" t="s">
        <v>9</v>
      </c>
      <c r="C66" s="9" t="s">
        <v>8</v>
      </c>
      <c r="D66" s="64">
        <f>A66/1024/1024/1024</f>
        <v>9.3132257461547852E-10</v>
      </c>
      <c r="E66" s="34" t="s">
        <v>22</v>
      </c>
      <c r="F66" s="35" t="s">
        <v>21</v>
      </c>
      <c r="G66" s="129">
        <f>A66*1.024/(1000*1000*1000)</f>
        <v>1.024E-9</v>
      </c>
      <c r="H66" s="36" t="s">
        <v>20</v>
      </c>
      <c r="I66" s="37" t="s">
        <v>30</v>
      </c>
      <c r="J66" s="129">
        <f>A66*(8*1024/1000)/1000/1000/1000</f>
        <v>8.1919999999999982E-9</v>
      </c>
      <c r="K66" s="38" t="s">
        <v>32</v>
      </c>
      <c r="L66" s="39" t="s">
        <v>33</v>
      </c>
    </row>
    <row r="67" spans="1:12" x14ac:dyDescent="0.3">
      <c r="A67" s="23">
        <v>1</v>
      </c>
      <c r="B67" s="8" t="s">
        <v>14</v>
      </c>
      <c r="C67" s="9" t="s">
        <v>13</v>
      </c>
      <c r="D67" s="62">
        <f>A67/1024/1024</f>
        <v>9.5367431640625E-7</v>
      </c>
      <c r="E67" s="34" t="s">
        <v>22</v>
      </c>
      <c r="F67" s="35" t="s">
        <v>21</v>
      </c>
      <c r="G67" s="130">
        <f>A67*1.024^2/(1000*1000)</f>
        <v>1.048576E-6</v>
      </c>
      <c r="H67" s="36" t="s">
        <v>20</v>
      </c>
      <c r="I67" s="37" t="s">
        <v>30</v>
      </c>
      <c r="J67" s="129">
        <f>A67*(8*1024^2/1000)/1000/1000/1000</f>
        <v>8.3886079999999981E-6</v>
      </c>
      <c r="K67" s="38" t="s">
        <v>32</v>
      </c>
      <c r="L67" s="39" t="s">
        <v>33</v>
      </c>
    </row>
    <row r="68" spans="1:12" x14ac:dyDescent="0.3">
      <c r="A68" s="23">
        <v>1</v>
      </c>
      <c r="B68" s="8" t="s">
        <v>19</v>
      </c>
      <c r="C68" s="9" t="s">
        <v>18</v>
      </c>
      <c r="D68" s="33">
        <f>A68/1024</f>
        <v>9.765625E-4</v>
      </c>
      <c r="E68" s="34" t="s">
        <v>22</v>
      </c>
      <c r="F68" s="35" t="s">
        <v>21</v>
      </c>
      <c r="G68" s="33">
        <f>A68*1.024^3/1000</f>
        <v>1.073741824E-3</v>
      </c>
      <c r="H68" s="36" t="s">
        <v>20</v>
      </c>
      <c r="I68" s="37" t="s">
        <v>30</v>
      </c>
      <c r="J68" s="33">
        <f>A68*((8*1024^3/1000)*1000)/1000/1000/1000/1000</f>
        <v>8.5899345919999981E-3</v>
      </c>
      <c r="K68" s="38" t="s">
        <v>32</v>
      </c>
      <c r="L68" s="39" t="s">
        <v>33</v>
      </c>
    </row>
    <row r="69" spans="1:12" ht="17.25" thickBot="1" x14ac:dyDescent="0.35">
      <c r="A69" s="25">
        <v>1</v>
      </c>
      <c r="B69" s="7" t="s">
        <v>22</v>
      </c>
      <c r="C69" s="10" t="s">
        <v>21</v>
      </c>
      <c r="D69" s="40">
        <f>A69*1</f>
        <v>1</v>
      </c>
      <c r="E69" s="48" t="s">
        <v>22</v>
      </c>
      <c r="F69" s="49" t="s">
        <v>21</v>
      </c>
      <c r="G69" s="40">
        <f>A69*1.024^4</f>
        <v>1.099511627776</v>
      </c>
      <c r="H69" s="50" t="s">
        <v>20</v>
      </c>
      <c r="I69" s="51" t="s">
        <v>30</v>
      </c>
      <c r="J69" s="161">
        <f>A69*((8*1024^4/1000))/1000/1000/1000</f>
        <v>8.796093022207998</v>
      </c>
      <c r="K69" s="52" t="s">
        <v>32</v>
      </c>
      <c r="L69" s="53" t="s">
        <v>33</v>
      </c>
    </row>
    <row r="70" spans="1:12" ht="17.25" thickBot="1" x14ac:dyDescent="0.35">
      <c r="A70" s="13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3"/>
    </row>
    <row r="71" spans="1:12" x14ac:dyDescent="0.3">
      <c r="A71" s="23">
        <v>1</v>
      </c>
      <c r="B71" s="8" t="s">
        <v>4</v>
      </c>
      <c r="C71" s="9" t="s">
        <v>3</v>
      </c>
      <c r="D71" s="95">
        <f>A71*1</f>
        <v>1</v>
      </c>
      <c r="E71" s="96" t="s">
        <v>4</v>
      </c>
      <c r="F71" s="97" t="s">
        <v>3</v>
      </c>
      <c r="G71" s="95">
        <f>A71*1000</f>
        <v>1000</v>
      </c>
      <c r="H71" s="98" t="s">
        <v>1</v>
      </c>
      <c r="I71" s="99" t="s">
        <v>0</v>
      </c>
      <c r="J71" s="95">
        <f>A71/1.024</f>
        <v>0.9765625</v>
      </c>
      <c r="K71" s="100" t="s">
        <v>6</v>
      </c>
      <c r="L71" s="101" t="s">
        <v>5</v>
      </c>
    </row>
    <row r="72" spans="1:12" x14ac:dyDescent="0.3">
      <c r="A72" s="23">
        <v>1</v>
      </c>
      <c r="B72" s="8" t="s">
        <v>11</v>
      </c>
      <c r="C72" s="9" t="s">
        <v>10</v>
      </c>
      <c r="D72" s="102">
        <f>A72*1000</f>
        <v>1000</v>
      </c>
      <c r="E72" s="103" t="s">
        <v>4</v>
      </c>
      <c r="F72" s="104" t="s">
        <v>3</v>
      </c>
      <c r="G72" s="102">
        <f>A72*1000*1000</f>
        <v>1000000</v>
      </c>
      <c r="H72" s="105" t="s">
        <v>1</v>
      </c>
      <c r="I72" s="106" t="s">
        <v>0</v>
      </c>
      <c r="J72" s="102">
        <f>A72/1.024*1000</f>
        <v>976.5625</v>
      </c>
      <c r="K72" s="107" t="s">
        <v>6</v>
      </c>
      <c r="L72" s="108" t="s">
        <v>5</v>
      </c>
    </row>
    <row r="73" spans="1:12" x14ac:dyDescent="0.3">
      <c r="A73" s="23">
        <v>1</v>
      </c>
      <c r="B73" s="8" t="s">
        <v>16</v>
      </c>
      <c r="C73" s="9" t="s">
        <v>15</v>
      </c>
      <c r="D73" s="102">
        <f>A73*1000*1000</f>
        <v>1000000</v>
      </c>
      <c r="E73" s="103" t="s">
        <v>4</v>
      </c>
      <c r="F73" s="104" t="s">
        <v>3</v>
      </c>
      <c r="G73" s="102">
        <f>A73*1000*1000*1000</f>
        <v>1000000000</v>
      </c>
      <c r="H73" s="105" t="s">
        <v>1</v>
      </c>
      <c r="I73" s="106" t="s">
        <v>0</v>
      </c>
      <c r="J73" s="102">
        <f>A73/1.024*1000*1000</f>
        <v>976562.5</v>
      </c>
      <c r="K73" s="107" t="s">
        <v>6</v>
      </c>
      <c r="L73" s="108" t="s">
        <v>5</v>
      </c>
    </row>
    <row r="74" spans="1:12" ht="17.25" thickBot="1" x14ac:dyDescent="0.35">
      <c r="A74" s="23">
        <v>1</v>
      </c>
      <c r="B74" s="8" t="s">
        <v>32</v>
      </c>
      <c r="C74" s="9" t="s">
        <v>33</v>
      </c>
      <c r="D74" s="102">
        <f>A74*1000*1000*1000</f>
        <v>1000000000</v>
      </c>
      <c r="E74" s="103" t="s">
        <v>4</v>
      </c>
      <c r="F74" s="104" t="s">
        <v>3</v>
      </c>
      <c r="G74" s="141">
        <f>A74*1000*1000*1000*1000</f>
        <v>1000000000000</v>
      </c>
      <c r="H74" s="105" t="s">
        <v>1</v>
      </c>
      <c r="I74" s="106" t="s">
        <v>0</v>
      </c>
      <c r="J74" s="102">
        <f>A74/1.024*1000*1000*1000</f>
        <v>976562500</v>
      </c>
      <c r="K74" s="107" t="s">
        <v>6</v>
      </c>
      <c r="L74" s="108" t="s">
        <v>5</v>
      </c>
    </row>
    <row r="75" spans="1:12" x14ac:dyDescent="0.3">
      <c r="A75" s="24">
        <v>1</v>
      </c>
      <c r="B75" s="22" t="s">
        <v>4</v>
      </c>
      <c r="C75" s="17" t="s">
        <v>3</v>
      </c>
      <c r="D75" s="95"/>
      <c r="E75" s="96"/>
      <c r="F75" s="97"/>
      <c r="G75" s="95">
        <f>A75*1000/8</f>
        <v>125</v>
      </c>
      <c r="H75" s="98" t="s">
        <v>2</v>
      </c>
      <c r="I75" s="99" t="s">
        <v>25</v>
      </c>
      <c r="J75" s="95">
        <f>A75*8*1.024</f>
        <v>8.1920000000000002</v>
      </c>
      <c r="K75" s="100" t="s">
        <v>9</v>
      </c>
      <c r="L75" s="101" t="s">
        <v>8</v>
      </c>
    </row>
    <row r="76" spans="1:12" x14ac:dyDescent="0.3">
      <c r="A76" s="23">
        <v>1</v>
      </c>
      <c r="B76" s="8" t="s">
        <v>11</v>
      </c>
      <c r="C76" s="9" t="s">
        <v>10</v>
      </c>
      <c r="D76" s="102"/>
      <c r="E76" s="103"/>
      <c r="F76" s="104"/>
      <c r="G76" s="102">
        <f>A76*(1000/8)*1000</f>
        <v>125000</v>
      </c>
      <c r="H76" s="105" t="s">
        <v>2</v>
      </c>
      <c r="I76" s="106" t="s">
        <v>25</v>
      </c>
      <c r="J76" s="102">
        <f>A76*(((1000/1024)/8)*1000)</f>
        <v>122.0703125</v>
      </c>
      <c r="K76" s="107" t="s">
        <v>9</v>
      </c>
      <c r="L76" s="108" t="s">
        <v>8</v>
      </c>
    </row>
    <row r="77" spans="1:12" x14ac:dyDescent="0.3">
      <c r="A77" s="23">
        <v>1</v>
      </c>
      <c r="B77" s="8" t="s">
        <v>16</v>
      </c>
      <c r="C77" s="9" t="s">
        <v>15</v>
      </c>
      <c r="D77" s="102"/>
      <c r="E77" s="103"/>
      <c r="F77" s="104"/>
      <c r="G77" s="102">
        <f>A77*(1000/8)*1000*1000</f>
        <v>125000000</v>
      </c>
      <c r="H77" s="105" t="s">
        <v>2</v>
      </c>
      <c r="I77" s="106" t="s">
        <v>25</v>
      </c>
      <c r="J77" s="102">
        <f>A77*(((1000/1024)/8)*1000*1000)</f>
        <v>122070.3125</v>
      </c>
      <c r="K77" s="107" t="s">
        <v>9</v>
      </c>
      <c r="L77" s="108" t="s">
        <v>8</v>
      </c>
    </row>
    <row r="78" spans="1:12" ht="17.25" thickBot="1" x14ac:dyDescent="0.35">
      <c r="A78" s="23">
        <v>1</v>
      </c>
      <c r="B78" s="8" t="s">
        <v>32</v>
      </c>
      <c r="C78" s="9" t="s">
        <v>33</v>
      </c>
      <c r="D78" s="109"/>
      <c r="E78" s="110"/>
      <c r="F78" s="111"/>
      <c r="G78" s="141">
        <f>A78*(1000/8)*1000*1000*1000</f>
        <v>125000000000</v>
      </c>
      <c r="H78" s="112" t="s">
        <v>2</v>
      </c>
      <c r="I78" s="113" t="s">
        <v>25</v>
      </c>
      <c r="J78" s="102">
        <f>A78*(((1000/1024)/8)*1000*1000*1000)</f>
        <v>122070312.5</v>
      </c>
      <c r="K78" s="114" t="s">
        <v>9</v>
      </c>
      <c r="L78" s="115" t="s">
        <v>8</v>
      </c>
    </row>
    <row r="79" spans="1:12" x14ac:dyDescent="0.3">
      <c r="A79" s="24">
        <v>1</v>
      </c>
      <c r="B79" s="22" t="s">
        <v>4</v>
      </c>
      <c r="C79" s="17" t="s">
        <v>3</v>
      </c>
      <c r="D79" s="95"/>
      <c r="E79" s="96"/>
      <c r="F79" s="97"/>
      <c r="G79" s="95">
        <f>A79/8</f>
        <v>0.125</v>
      </c>
      <c r="H79" s="98" t="s">
        <v>7</v>
      </c>
      <c r="I79" s="99" t="s">
        <v>26</v>
      </c>
      <c r="J79" s="95"/>
      <c r="K79" s="100"/>
      <c r="L79" s="101"/>
    </row>
    <row r="80" spans="1:12" x14ac:dyDescent="0.3">
      <c r="A80" s="23">
        <v>1</v>
      </c>
      <c r="B80" s="8" t="s">
        <v>11</v>
      </c>
      <c r="C80" s="9" t="s">
        <v>10</v>
      </c>
      <c r="D80" s="102"/>
      <c r="E80" s="103"/>
      <c r="F80" s="104"/>
      <c r="G80" s="102">
        <f>A80*1000/8</f>
        <v>125</v>
      </c>
      <c r="H80" s="105" t="s">
        <v>7</v>
      </c>
      <c r="I80" s="106" t="s">
        <v>26</v>
      </c>
      <c r="J80" s="102"/>
      <c r="K80" s="107"/>
      <c r="L80" s="108"/>
    </row>
    <row r="81" spans="1:12" x14ac:dyDescent="0.3">
      <c r="A81" s="23">
        <v>1</v>
      </c>
      <c r="B81" s="8" t="s">
        <v>16</v>
      </c>
      <c r="C81" s="9" t="s">
        <v>15</v>
      </c>
      <c r="D81" s="102"/>
      <c r="E81" s="103"/>
      <c r="F81" s="104"/>
      <c r="G81" s="102">
        <f>A81*(1000/8)*1000</f>
        <v>125000</v>
      </c>
      <c r="H81" s="105" t="s">
        <v>7</v>
      </c>
      <c r="I81" s="106" t="s">
        <v>26</v>
      </c>
      <c r="J81" s="102"/>
      <c r="K81" s="107"/>
      <c r="L81" s="108"/>
    </row>
    <row r="82" spans="1:12" ht="17.25" thickBot="1" x14ac:dyDescent="0.35">
      <c r="A82" s="23">
        <v>1</v>
      </c>
      <c r="B82" s="8" t="s">
        <v>32</v>
      </c>
      <c r="C82" s="9" t="s">
        <v>33</v>
      </c>
      <c r="D82" s="102"/>
      <c r="E82" s="103"/>
      <c r="F82" s="104"/>
      <c r="G82" s="102">
        <f>A82*(1000/8)*1000*1000</f>
        <v>125000000</v>
      </c>
      <c r="H82" s="105" t="s">
        <v>7</v>
      </c>
      <c r="I82" s="106" t="s">
        <v>26</v>
      </c>
      <c r="J82" s="102"/>
      <c r="K82" s="107"/>
      <c r="L82" s="108"/>
    </row>
    <row r="83" spans="1:12" x14ac:dyDescent="0.3">
      <c r="A83" s="24">
        <v>1</v>
      </c>
      <c r="B83" s="22" t="s">
        <v>4</v>
      </c>
      <c r="C83" s="17" t="s">
        <v>3</v>
      </c>
      <c r="D83" s="95">
        <f>A83/1000</f>
        <v>1E-3</v>
      </c>
      <c r="E83" s="96" t="s">
        <v>11</v>
      </c>
      <c r="F83" s="97" t="s">
        <v>10</v>
      </c>
      <c r="G83" s="95">
        <f>A83/8/1000</f>
        <v>1.25E-4</v>
      </c>
      <c r="H83" s="98" t="s">
        <v>12</v>
      </c>
      <c r="I83" s="99" t="s">
        <v>27</v>
      </c>
      <c r="J83" s="172">
        <f>A83/((1.024^2)*8*1000)</f>
        <v>1.1920928955078125E-4</v>
      </c>
      <c r="K83" s="100" t="s">
        <v>14</v>
      </c>
      <c r="L83" s="101" t="s">
        <v>13</v>
      </c>
    </row>
    <row r="84" spans="1:12" x14ac:dyDescent="0.3">
      <c r="A84" s="23">
        <v>1</v>
      </c>
      <c r="B84" s="8" t="s">
        <v>11</v>
      </c>
      <c r="C84" s="9" t="s">
        <v>10</v>
      </c>
      <c r="D84" s="102">
        <f>A84*1</f>
        <v>1</v>
      </c>
      <c r="E84" s="103" t="s">
        <v>11</v>
      </c>
      <c r="F84" s="104" t="s">
        <v>10</v>
      </c>
      <c r="G84" s="102">
        <f>A84/8</f>
        <v>0.125</v>
      </c>
      <c r="H84" s="105" t="s">
        <v>12</v>
      </c>
      <c r="I84" s="106" t="s">
        <v>27</v>
      </c>
      <c r="J84" s="102">
        <f>A84/((1.024^2)*8*1000)*1000</f>
        <v>0.11920928955078125</v>
      </c>
      <c r="K84" s="107" t="s">
        <v>14</v>
      </c>
      <c r="L84" s="108" t="s">
        <v>13</v>
      </c>
    </row>
    <row r="85" spans="1:12" x14ac:dyDescent="0.3">
      <c r="A85" s="23">
        <v>1</v>
      </c>
      <c r="B85" s="8" t="s">
        <v>16</v>
      </c>
      <c r="C85" s="9" t="s">
        <v>15</v>
      </c>
      <c r="D85" s="102">
        <f>A85*1000</f>
        <v>1000</v>
      </c>
      <c r="E85" s="103" t="s">
        <v>11</v>
      </c>
      <c r="F85" s="104" t="s">
        <v>10</v>
      </c>
      <c r="G85" s="102">
        <f>A85*1000/8</f>
        <v>125</v>
      </c>
      <c r="H85" s="105" t="s">
        <v>12</v>
      </c>
      <c r="I85" s="106" t="s">
        <v>27</v>
      </c>
      <c r="J85" s="102">
        <f>A85/((1.024^2)*8*1000)*1000*1000</f>
        <v>119.20928955078125</v>
      </c>
      <c r="K85" s="107" t="s">
        <v>14</v>
      </c>
      <c r="L85" s="108" t="s">
        <v>13</v>
      </c>
    </row>
    <row r="86" spans="1:12" ht="17.25" thickBot="1" x14ac:dyDescent="0.35">
      <c r="A86" s="23">
        <v>1</v>
      </c>
      <c r="B86" s="8" t="s">
        <v>32</v>
      </c>
      <c r="C86" s="9" t="s">
        <v>33</v>
      </c>
      <c r="D86" s="109">
        <f>A86*1000*1000</f>
        <v>1000000</v>
      </c>
      <c r="E86" s="110" t="s">
        <v>11</v>
      </c>
      <c r="F86" s="111" t="s">
        <v>10</v>
      </c>
      <c r="G86" s="102">
        <f>A86*(1000/8)*1000</f>
        <v>125000</v>
      </c>
      <c r="H86" s="112" t="s">
        <v>12</v>
      </c>
      <c r="I86" s="113" t="s">
        <v>27</v>
      </c>
      <c r="J86" s="102">
        <f>A86/((1.024^2)*8*1000)*1000*1000*1000</f>
        <v>119209.28955078125</v>
      </c>
      <c r="K86" s="114" t="s">
        <v>14</v>
      </c>
      <c r="L86" s="115" t="s">
        <v>13</v>
      </c>
    </row>
    <row r="87" spans="1:12" x14ac:dyDescent="0.3">
      <c r="A87" s="24">
        <v>1</v>
      </c>
      <c r="B87" s="22" t="s">
        <v>4</v>
      </c>
      <c r="C87" s="17" t="s">
        <v>3</v>
      </c>
      <c r="D87" s="95">
        <f>A87/1000/1000</f>
        <v>9.9999999999999995E-7</v>
      </c>
      <c r="E87" s="96" t="s">
        <v>16</v>
      </c>
      <c r="F87" s="97" t="s">
        <v>15</v>
      </c>
      <c r="G87" s="95">
        <f>A87/8/1000/1000</f>
        <v>1.2499999999999999E-7</v>
      </c>
      <c r="H87" s="98" t="s">
        <v>17</v>
      </c>
      <c r="I87" s="99" t="s">
        <v>28</v>
      </c>
      <c r="J87" s="171">
        <f>A87/((1.024^3)*8*1000)/1000</f>
        <v>1.164153218269348E-7</v>
      </c>
      <c r="K87" s="100" t="s">
        <v>19</v>
      </c>
      <c r="L87" s="101" t="s">
        <v>18</v>
      </c>
    </row>
    <row r="88" spans="1:12" x14ac:dyDescent="0.3">
      <c r="A88" s="23">
        <v>1</v>
      </c>
      <c r="B88" s="8" t="s">
        <v>11</v>
      </c>
      <c r="C88" s="9" t="s">
        <v>10</v>
      </c>
      <c r="D88" s="102">
        <f>A88/1000</f>
        <v>1E-3</v>
      </c>
      <c r="E88" s="103" t="s">
        <v>16</v>
      </c>
      <c r="F88" s="104" t="s">
        <v>15</v>
      </c>
      <c r="G88" s="102">
        <f>A88/8/1000</f>
        <v>1.25E-4</v>
      </c>
      <c r="H88" s="105" t="s">
        <v>17</v>
      </c>
      <c r="I88" s="106" t="s">
        <v>28</v>
      </c>
      <c r="J88" s="173">
        <f>A88/((1.024^3)*8*1000)</f>
        <v>1.164153218269348E-4</v>
      </c>
      <c r="K88" s="107" t="s">
        <v>19</v>
      </c>
      <c r="L88" s="108" t="s">
        <v>18</v>
      </c>
    </row>
    <row r="89" spans="1:12" x14ac:dyDescent="0.3">
      <c r="A89" s="23">
        <v>1</v>
      </c>
      <c r="B89" s="8" t="s">
        <v>16</v>
      </c>
      <c r="C89" s="9" t="s">
        <v>15</v>
      </c>
      <c r="D89" s="102">
        <f>A89*1</f>
        <v>1</v>
      </c>
      <c r="E89" s="103" t="s">
        <v>16</v>
      </c>
      <c r="F89" s="104" t="s">
        <v>15</v>
      </c>
      <c r="G89" s="102">
        <f>A89/8</f>
        <v>0.125</v>
      </c>
      <c r="H89" s="105" t="s">
        <v>17</v>
      </c>
      <c r="I89" s="106" t="s">
        <v>28</v>
      </c>
      <c r="J89" s="102">
        <f>A89/((1.024^3)*8*1000)*1000</f>
        <v>0.1164153218269348</v>
      </c>
      <c r="K89" s="107" t="s">
        <v>19</v>
      </c>
      <c r="L89" s="108" t="s">
        <v>18</v>
      </c>
    </row>
    <row r="90" spans="1:12" ht="17.25" thickBot="1" x14ac:dyDescent="0.35">
      <c r="A90" s="23">
        <v>1</v>
      </c>
      <c r="B90" s="8" t="s">
        <v>32</v>
      </c>
      <c r="C90" s="9" t="s">
        <v>33</v>
      </c>
      <c r="D90" s="102">
        <f>A90*1000</f>
        <v>1000</v>
      </c>
      <c r="E90" s="103" t="s">
        <v>16</v>
      </c>
      <c r="F90" s="104" t="s">
        <v>15</v>
      </c>
      <c r="G90" s="102">
        <f>A90*1000/8</f>
        <v>125</v>
      </c>
      <c r="H90" s="105" t="s">
        <v>17</v>
      </c>
      <c r="I90" s="106" t="s">
        <v>28</v>
      </c>
      <c r="J90" s="102">
        <f>A90/((1.024^3)*8*1000)*1000*1000</f>
        <v>116.4153218269348</v>
      </c>
      <c r="K90" s="107" t="s">
        <v>19</v>
      </c>
      <c r="L90" s="108" t="s">
        <v>18</v>
      </c>
    </row>
    <row r="91" spans="1:12" x14ac:dyDescent="0.3">
      <c r="A91" s="24">
        <v>1</v>
      </c>
      <c r="B91" s="22" t="s">
        <v>4</v>
      </c>
      <c r="C91" s="17" t="s">
        <v>3</v>
      </c>
      <c r="D91" s="95">
        <f>A91/1000/1000/1000</f>
        <v>9.9999999999999986E-10</v>
      </c>
      <c r="E91" s="96" t="s">
        <v>32</v>
      </c>
      <c r="F91" s="97" t="s">
        <v>33</v>
      </c>
      <c r="G91" s="170">
        <f>A91/8/1000/1000/1000</f>
        <v>1.2499999999999998E-10</v>
      </c>
      <c r="H91" s="98" t="s">
        <v>20</v>
      </c>
      <c r="I91" s="99" t="s">
        <v>30</v>
      </c>
      <c r="J91" s="174">
        <f>A91/((1.024^4)*8*1000)/1000/1000</f>
        <v>1.1368683772161602E-10</v>
      </c>
      <c r="K91" s="100" t="s">
        <v>22</v>
      </c>
      <c r="L91" s="101" t="s">
        <v>21</v>
      </c>
    </row>
    <row r="92" spans="1:12" x14ac:dyDescent="0.3">
      <c r="A92" s="23">
        <v>1</v>
      </c>
      <c r="B92" s="8" t="s">
        <v>11</v>
      </c>
      <c r="C92" s="9" t="s">
        <v>10</v>
      </c>
      <c r="D92" s="102">
        <f>A92/1000/1000</f>
        <v>9.9999999999999995E-7</v>
      </c>
      <c r="E92" s="103" t="s">
        <v>32</v>
      </c>
      <c r="F92" s="104" t="s">
        <v>33</v>
      </c>
      <c r="G92" s="102">
        <f>A92/8/1000/1000</f>
        <v>1.2499999999999999E-7</v>
      </c>
      <c r="H92" s="105" t="s">
        <v>20</v>
      </c>
      <c r="I92" s="106" t="s">
        <v>30</v>
      </c>
      <c r="J92" s="176">
        <f>A92/((1.024^4)*8*1000)/1000</f>
        <v>1.1368683772161602E-7</v>
      </c>
      <c r="K92" s="107" t="s">
        <v>22</v>
      </c>
      <c r="L92" s="108" t="s">
        <v>21</v>
      </c>
    </row>
    <row r="93" spans="1:12" x14ac:dyDescent="0.3">
      <c r="A93" s="23">
        <v>1</v>
      </c>
      <c r="B93" s="8" t="s">
        <v>16</v>
      </c>
      <c r="C93" s="9" t="s">
        <v>15</v>
      </c>
      <c r="D93" s="102">
        <f>A93/1000</f>
        <v>1E-3</v>
      </c>
      <c r="E93" s="103" t="s">
        <v>32</v>
      </c>
      <c r="F93" s="104" t="s">
        <v>33</v>
      </c>
      <c r="G93" s="102">
        <f>A93/8/1000</f>
        <v>1.25E-4</v>
      </c>
      <c r="H93" s="105" t="s">
        <v>20</v>
      </c>
      <c r="I93" s="106" t="s">
        <v>30</v>
      </c>
      <c r="J93" s="102">
        <f>A93/((1.024^4)*8*1000)</f>
        <v>1.1368683772161602E-4</v>
      </c>
      <c r="K93" s="107" t="s">
        <v>22</v>
      </c>
      <c r="L93" s="108" t="s">
        <v>21</v>
      </c>
    </row>
    <row r="94" spans="1:12" ht="17.25" thickBot="1" x14ac:dyDescent="0.35">
      <c r="A94" s="25">
        <v>1</v>
      </c>
      <c r="B94" s="7" t="s">
        <v>32</v>
      </c>
      <c r="C94" s="10" t="s">
        <v>33</v>
      </c>
      <c r="D94" s="116">
        <f>A94*1</f>
        <v>1</v>
      </c>
      <c r="E94" s="117" t="s">
        <v>32</v>
      </c>
      <c r="F94" s="118" t="s">
        <v>33</v>
      </c>
      <c r="G94" s="116">
        <f>A94/8</f>
        <v>0.125</v>
      </c>
      <c r="H94" s="119" t="s">
        <v>20</v>
      </c>
      <c r="I94" s="120" t="s">
        <v>30</v>
      </c>
      <c r="J94" s="175">
        <f>A94/((1.024^4)*8*1000)*1000</f>
        <v>0.11368683772161602</v>
      </c>
      <c r="K94" s="121" t="s">
        <v>22</v>
      </c>
      <c r="L94" s="122" t="s">
        <v>21</v>
      </c>
    </row>
  </sheetData>
  <mergeCells count="7">
    <mergeCell ref="A39:L39"/>
    <mergeCell ref="A70:L70"/>
    <mergeCell ref="H2:I2"/>
    <mergeCell ref="K2:L2"/>
    <mergeCell ref="A1:C1"/>
    <mergeCell ref="E2:F2"/>
    <mergeCell ref="B2:C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Datenumrechnung</vt:lpstr>
      <vt:lpstr>Datenumrechnung!Druckbereich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Björn Jaborek</cp:lastModifiedBy>
  <cp:lastPrinted>2020-07-26T07:59:54Z</cp:lastPrinted>
  <dcterms:created xsi:type="dcterms:W3CDTF">2020-07-17T07:21:08Z</dcterms:created>
  <dcterms:modified xsi:type="dcterms:W3CDTF">2020-08-17T09:24:22Z</dcterms:modified>
</cp:coreProperties>
</file>