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Eigene Dateien\GoogleDrive\"/>
    </mc:Choice>
  </mc:AlternateContent>
  <xr:revisionPtr revIDLastSave="0" documentId="8_{BDBF2B4A-C0D9-42F7-8840-441C6F8970EC}" xr6:coauthVersionLast="45" xr6:coauthVersionMax="45" xr10:uidLastSave="{00000000-0000-0000-0000-000000000000}"/>
  <bookViews>
    <workbookView xWindow="-120" yWindow="-120" windowWidth="29040" windowHeight="15840" xr2:uid="{D98CDDBE-6645-4012-AF04-537204ECAC19}"/>
  </bookViews>
  <sheets>
    <sheet name="Datenumrechnung" sheetId="3" r:id="rId1"/>
  </sheets>
  <definedNames>
    <definedName name="_xlnm.Print_Titles" localSheetId="0">Datenumrechnung!$A:$C,Datenumrechnung!$1:$2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3" l="1"/>
  <c r="U60" i="3" l="1"/>
  <c r="U61" i="3"/>
  <c r="U62" i="3"/>
  <c r="U63" i="3"/>
  <c r="U59" i="3"/>
  <c r="U58" i="3"/>
  <c r="U57" i="3"/>
  <c r="U56" i="3"/>
  <c r="U55" i="3"/>
  <c r="U54" i="3"/>
  <c r="U53" i="3"/>
  <c r="U52" i="3"/>
  <c r="U51" i="3"/>
  <c r="U50" i="3"/>
  <c r="U49" i="3"/>
  <c r="U48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88" i="3"/>
  <c r="U87" i="3"/>
  <c r="U86" i="3"/>
  <c r="U85" i="3"/>
  <c r="U84" i="3"/>
  <c r="U83" i="3"/>
  <c r="U82" i="3"/>
  <c r="U81" i="3"/>
  <c r="U80" i="3"/>
  <c r="U79" i="3"/>
  <c r="U78" i="3"/>
  <c r="U77" i="3"/>
  <c r="U113" i="3"/>
  <c r="U112" i="3"/>
  <c r="U111" i="3"/>
  <c r="U110" i="3"/>
  <c r="U109" i="3"/>
  <c r="U108" i="3"/>
  <c r="U107" i="3"/>
  <c r="U106" i="3"/>
  <c r="U105" i="3"/>
  <c r="U103" i="3"/>
  <c r="U104" i="3"/>
  <c r="U102" i="3"/>
  <c r="U101" i="3"/>
  <c r="U100" i="3"/>
  <c r="U99" i="3"/>
  <c r="U98" i="3"/>
  <c r="P113" i="3"/>
  <c r="P112" i="3"/>
  <c r="P111" i="3"/>
  <c r="P110" i="3"/>
  <c r="P109" i="3"/>
  <c r="P107" i="3"/>
  <c r="P108" i="3"/>
  <c r="P106" i="3"/>
  <c r="P105" i="3"/>
  <c r="P104" i="3"/>
  <c r="P103" i="3"/>
  <c r="P102" i="3"/>
  <c r="P101" i="3"/>
  <c r="P100" i="3"/>
  <c r="P99" i="3"/>
  <c r="P98" i="3"/>
  <c r="K113" i="3" l="1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K93" i="3"/>
  <c r="K92" i="3"/>
  <c r="K91" i="3"/>
  <c r="K90" i="3"/>
  <c r="F76" i="3"/>
  <c r="F75" i="3"/>
  <c r="F74" i="3"/>
  <c r="F73" i="3"/>
  <c r="U76" i="3"/>
  <c r="U75" i="3"/>
  <c r="U74" i="3"/>
  <c r="U73" i="3"/>
  <c r="U15" i="3" l="1"/>
  <c r="U16" i="3"/>
  <c r="U17" i="3"/>
  <c r="U18" i="3"/>
  <c r="U19" i="3"/>
  <c r="U20" i="3"/>
  <c r="F9" i="3"/>
  <c r="F8" i="3"/>
  <c r="F7" i="3"/>
  <c r="F6" i="3"/>
  <c r="F5" i="3"/>
  <c r="F3" i="3"/>
  <c r="F27" i="3"/>
  <c r="F21" i="3"/>
  <c r="F15" i="3"/>
  <c r="F33" i="3"/>
  <c r="K80" i="3"/>
  <c r="P76" i="3"/>
  <c r="P75" i="3"/>
  <c r="P74" i="3"/>
  <c r="P73" i="3"/>
  <c r="K87" i="3"/>
  <c r="P88" i="3"/>
  <c r="P87" i="3"/>
  <c r="P86" i="3"/>
  <c r="P85" i="3"/>
  <c r="P84" i="3"/>
  <c r="P83" i="3"/>
  <c r="P82" i="3"/>
  <c r="P81" i="3"/>
  <c r="P80" i="3"/>
  <c r="P79" i="3"/>
  <c r="P78" i="3"/>
  <c r="P77" i="3"/>
  <c r="K88" i="3" l="1"/>
  <c r="K86" i="3"/>
  <c r="K85" i="3"/>
  <c r="K84" i="3"/>
  <c r="K83" i="3"/>
  <c r="K82" i="3"/>
  <c r="K81" i="3"/>
  <c r="K79" i="3"/>
  <c r="K78" i="3"/>
  <c r="K77" i="3"/>
  <c r="K76" i="3"/>
  <c r="K75" i="3"/>
  <c r="K74" i="3"/>
  <c r="K73" i="3"/>
  <c r="K72" i="3"/>
  <c r="K71" i="3"/>
  <c r="K70" i="3"/>
  <c r="K69" i="3"/>
  <c r="P63" i="3"/>
  <c r="P62" i="3"/>
  <c r="P61" i="3"/>
  <c r="P60" i="3"/>
  <c r="P59" i="3"/>
  <c r="P58" i="3"/>
  <c r="P57" i="3"/>
  <c r="P56" i="3"/>
  <c r="P55" i="3"/>
  <c r="P54" i="3"/>
  <c r="P53" i="3"/>
  <c r="P52" i="3"/>
  <c r="P50" i="3"/>
  <c r="P51" i="3"/>
  <c r="P49" i="3"/>
  <c r="P48" i="3"/>
  <c r="K33" i="3"/>
  <c r="K27" i="3"/>
  <c r="K21" i="3"/>
  <c r="K15" i="3"/>
  <c r="K63" i="3" l="1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3" i="3"/>
  <c r="K42" i="3"/>
  <c r="K41" i="3"/>
  <c r="K40" i="3"/>
  <c r="P37" i="3"/>
  <c r="P36" i="3"/>
  <c r="P35" i="3"/>
  <c r="P34" i="3"/>
  <c r="P32" i="3"/>
  <c r="P30" i="3"/>
  <c r="P29" i="3"/>
  <c r="P26" i="3"/>
  <c r="P25" i="3"/>
  <c r="P23" i="3"/>
  <c r="P22" i="3"/>
  <c r="P20" i="3"/>
  <c r="P19" i="3"/>
  <c r="P18" i="3"/>
  <c r="P16" i="3"/>
  <c r="P28" i="3"/>
  <c r="P38" i="3"/>
  <c r="P31" i="3"/>
  <c r="P24" i="3"/>
  <c r="P17" i="3"/>
  <c r="K38" i="3"/>
  <c r="K37" i="3"/>
  <c r="K36" i="3"/>
  <c r="K35" i="3"/>
  <c r="K34" i="3"/>
  <c r="K32" i="3"/>
  <c r="K31" i="3"/>
  <c r="K30" i="3"/>
  <c r="K29" i="3"/>
  <c r="K28" i="3"/>
  <c r="K20" i="3"/>
  <c r="K19" i="3"/>
  <c r="K18" i="3"/>
  <c r="K24" i="3"/>
  <c r="K26" i="3"/>
  <c r="K25" i="3"/>
  <c r="K23" i="3"/>
  <c r="F88" i="3" l="1"/>
  <c r="F87" i="3"/>
  <c r="F86" i="3"/>
  <c r="F85" i="3"/>
  <c r="F84" i="3"/>
  <c r="F83" i="3"/>
  <c r="F82" i="3"/>
  <c r="F81" i="3"/>
  <c r="F80" i="3"/>
  <c r="F79" i="3"/>
  <c r="F78" i="3"/>
  <c r="F77" i="3"/>
  <c r="K68" i="3"/>
  <c r="K67" i="3"/>
  <c r="K66" i="3"/>
  <c r="K65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K48" i="3"/>
  <c r="F48" i="3"/>
  <c r="K47" i="3"/>
  <c r="K46" i="3"/>
  <c r="K45" i="3"/>
  <c r="K44" i="3"/>
  <c r="F38" i="3"/>
  <c r="F37" i="3"/>
  <c r="F36" i="3"/>
  <c r="F35" i="3"/>
  <c r="F34" i="3"/>
  <c r="P33" i="3"/>
  <c r="F32" i="3"/>
  <c r="F31" i="3"/>
  <c r="F30" i="3"/>
  <c r="F29" i="3"/>
  <c r="F28" i="3"/>
  <c r="P27" i="3"/>
  <c r="F26" i="3"/>
  <c r="F25" i="3"/>
  <c r="F24" i="3"/>
  <c r="F23" i="3"/>
  <c r="K22" i="3"/>
  <c r="F22" i="3"/>
  <c r="P21" i="3"/>
  <c r="F20" i="3"/>
  <c r="F19" i="3"/>
  <c r="F18" i="3"/>
  <c r="K17" i="3"/>
  <c r="F17" i="3"/>
  <c r="K16" i="3"/>
  <c r="F16" i="3"/>
  <c r="P15" i="3"/>
  <c r="F14" i="3"/>
  <c r="F13" i="3"/>
  <c r="F12" i="3"/>
  <c r="F11" i="3"/>
  <c r="F10" i="3"/>
</calcChain>
</file>

<file path=xl/sharedStrings.xml><?xml version="1.0" encoding="utf-8"?>
<sst xmlns="http://schemas.openxmlformats.org/spreadsheetml/2006/main" count="875" uniqueCount="45">
  <si>
    <t>bit</t>
  </si>
  <si>
    <t>b</t>
  </si>
  <si>
    <t>B</t>
  </si>
  <si>
    <t>kb</t>
  </si>
  <si>
    <t>kibibit</t>
  </si>
  <si>
    <t>kB</t>
  </si>
  <si>
    <t>KiB</t>
  </si>
  <si>
    <t>Mb</t>
  </si>
  <si>
    <t>MB</t>
  </si>
  <si>
    <t>MiB</t>
  </si>
  <si>
    <t>Gb</t>
  </si>
  <si>
    <t>GB</t>
  </si>
  <si>
    <t>GiB</t>
  </si>
  <si>
    <t>TB</t>
  </si>
  <si>
    <t>TiB</t>
  </si>
  <si>
    <t>Basis</t>
  </si>
  <si>
    <t>Ausgangswert</t>
  </si>
  <si>
    <t>Byte</t>
  </si>
  <si>
    <t>Kilobyte</t>
  </si>
  <si>
    <t>Megabyte</t>
  </si>
  <si>
    <t>Gigabyte</t>
  </si>
  <si>
    <t>Ergebnis</t>
  </si>
  <si>
    <t>Terabyte</t>
  </si>
  <si>
    <t>Einheit</t>
  </si>
  <si>
    <t>Tb</t>
  </si>
  <si>
    <t>Mebibyte</t>
  </si>
  <si>
    <t>Kibibyte</t>
  </si>
  <si>
    <t>Gibibyte</t>
  </si>
  <si>
    <t>Tebibyte</t>
  </si>
  <si>
    <t>Kilobit</t>
  </si>
  <si>
    <t>Megabit</t>
  </si>
  <si>
    <t>Gigabit</t>
  </si>
  <si>
    <t>Terabit</t>
  </si>
  <si>
    <t>Kibibit</t>
  </si>
  <si>
    <t>Mebibit</t>
  </si>
  <si>
    <t>Gibibit</t>
  </si>
  <si>
    <t>Tebibit</t>
  </si>
  <si>
    <t>kbit</t>
  </si>
  <si>
    <t>Mbit</t>
  </si>
  <si>
    <t>Gbit</t>
  </si>
  <si>
    <t>Tbit</t>
  </si>
  <si>
    <t>Kibit</t>
  </si>
  <si>
    <t>Mibit</t>
  </si>
  <si>
    <t>Gibit</t>
  </si>
  <si>
    <t>Tibit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</si>
</sst>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.000000000000000"/>
    <numFmt numFmtId="165" formatCode="0.000000000000"/>
    <numFmt numFmtId="166" formatCode="0.000000000000000"/>
    <numFmt numFmtId="167" formatCode="0.000000000000000000000"/>
    <numFmt numFmtId="168" formatCode="0.00000000000000000000"/>
    <numFmt numFmtId="169" formatCode="0.000000000000000000000000"/>
    <numFmt numFmtId="170" formatCode="0.000000000000000000000000000"/>
    <numFmt numFmtId="171" formatCode="0.000"/>
    <numFmt numFmtId="172" formatCode="0.000000"/>
    <numFmt numFmtId="173" formatCode="0.000000000"/>
    <numFmt numFmtId="174" formatCode="0.000000000000000000"/>
    <numFmt numFmtId="175" formatCode="0.00000000000000000"/>
    <numFmt numFmtId="176" formatCode="0.00000000"/>
    <numFmt numFmtId="177" formatCode="0.00000"/>
    <numFmt numFmtId="178" formatCode="0.00000000000000000000000"/>
    <numFmt numFmtId="179" formatCode="0.00000000000000"/>
    <numFmt numFmtId="180" formatCode="0.00000000000"/>
    <numFmt numFmtId="181" formatCode="0.00000000000000000000000000"/>
  </numFmts>
  <fonts count="7" x14ac:knownFonts="1">
    <font>
      <sz val="10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vertAlign val="superscript"/>
      <sz val="11"/>
      <color theme="1"/>
      <name val="Open Sans"/>
      <family val="2"/>
    </font>
    <font>
      <b/>
      <vertAlign val="superscript"/>
      <sz val="10"/>
      <color theme="1"/>
      <name val="Open Sans"/>
      <family val="2"/>
    </font>
    <font>
      <b/>
      <vertAlign val="superscript"/>
      <sz val="11"/>
      <color theme="1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 tint="-0.14993743705557422"/>
      </patternFill>
    </fill>
    <fill>
      <patternFill patternType="solid">
        <fgColor rgb="FFE7FFFF"/>
        <bgColor indexed="64"/>
      </patternFill>
    </fill>
    <fill>
      <patternFill patternType="solid">
        <fgColor rgb="FFFFF9E7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" fontId="3" fillId="3" borderId="6" xfId="0" applyNumberFormat="1" applyFont="1" applyFill="1" applyBorder="1" applyAlignment="1">
      <alignment horizontal="center" vertical="top"/>
    </xf>
    <xf numFmtId="1" fontId="3" fillId="3" borderId="7" xfId="0" applyNumberFormat="1" applyFont="1" applyFill="1" applyBorder="1" applyAlignment="1">
      <alignment horizontal="center" vertical="top"/>
    </xf>
    <xf numFmtId="164" fontId="3" fillId="3" borderId="0" xfId="0" applyNumberFormat="1" applyFont="1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 vertical="top"/>
    </xf>
    <xf numFmtId="2" fontId="1" fillId="3" borderId="2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1" fontId="1" fillId="6" borderId="20" xfId="0" applyNumberFormat="1" applyFont="1" applyFill="1" applyBorder="1" applyAlignment="1">
      <alignment horizontal="center" vertical="center"/>
    </xf>
    <xf numFmtId="1" fontId="1" fillId="6" borderId="19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1" fontId="6" fillId="6" borderId="19" xfId="0" applyNumberFormat="1" applyFont="1" applyFill="1" applyBorder="1" applyAlignment="1">
      <alignment horizontal="center" vertical="center"/>
    </xf>
    <xf numFmtId="1" fontId="6" fillId="6" borderId="19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1" fontId="1" fillId="6" borderId="19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right" vertical="center"/>
    </xf>
    <xf numFmtId="0" fontId="4" fillId="3" borderId="18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right" vertical="center" wrapText="1"/>
    </xf>
    <xf numFmtId="0" fontId="2" fillId="5" borderId="11" xfId="0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right" vertical="center" wrapText="1"/>
    </xf>
    <xf numFmtId="0" fontId="2" fillId="7" borderId="15" xfId="0" applyFont="1" applyFill="1" applyBorder="1" applyAlignment="1">
      <alignment horizontal="right" vertical="center" wrapText="1"/>
    </xf>
    <xf numFmtId="0" fontId="2" fillId="7" borderId="13" xfId="0" applyFont="1" applyFill="1" applyBorder="1" applyAlignment="1">
      <alignment horizontal="right" vertical="center" wrapText="1"/>
    </xf>
    <xf numFmtId="0" fontId="2" fillId="8" borderId="9" xfId="0" applyFont="1" applyFill="1" applyBorder="1" applyAlignment="1">
      <alignment horizontal="right" vertical="center" wrapText="1"/>
    </xf>
    <xf numFmtId="0" fontId="2" fillId="8" borderId="11" xfId="0" applyFont="1" applyFill="1" applyBorder="1" applyAlignment="1">
      <alignment horizontal="right" vertical="center" wrapText="1"/>
    </xf>
    <xf numFmtId="0" fontId="2" fillId="8" borderId="15" xfId="0" applyFont="1" applyFill="1" applyBorder="1" applyAlignment="1">
      <alignment horizontal="right" vertical="center" wrapText="1"/>
    </xf>
    <xf numFmtId="0" fontId="2" fillId="8" borderId="13" xfId="0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right" vertical="center"/>
    </xf>
    <xf numFmtId="0" fontId="2" fillId="5" borderId="11" xfId="0" applyFont="1" applyFill="1" applyBorder="1" applyAlignment="1">
      <alignment horizontal="right" vertical="center"/>
    </xf>
    <xf numFmtId="0" fontId="2" fillId="5" borderId="15" xfId="0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right" vertical="center"/>
    </xf>
    <xf numFmtId="0" fontId="2" fillId="7" borderId="9" xfId="0" applyFont="1" applyFill="1" applyBorder="1" applyAlignment="1">
      <alignment horizontal="right" vertical="center"/>
    </xf>
    <xf numFmtId="0" fontId="2" fillId="7" borderId="11" xfId="0" applyFont="1" applyFill="1" applyBorder="1" applyAlignment="1">
      <alignment horizontal="right" vertical="center"/>
    </xf>
    <xf numFmtId="0" fontId="2" fillId="7" borderId="15" xfId="0" applyFont="1" applyFill="1" applyBorder="1" applyAlignment="1">
      <alignment horizontal="right" vertical="center"/>
    </xf>
    <xf numFmtId="0" fontId="2" fillId="7" borderId="13" xfId="0" applyFont="1" applyFill="1" applyBorder="1" applyAlignment="1">
      <alignment horizontal="right" vertical="center"/>
    </xf>
    <xf numFmtId="0" fontId="2" fillId="8" borderId="9" xfId="0" applyFont="1" applyFill="1" applyBorder="1" applyAlignment="1">
      <alignment horizontal="right" vertical="center"/>
    </xf>
    <xf numFmtId="0" fontId="2" fillId="8" borderId="11" xfId="0" applyFont="1" applyFill="1" applyBorder="1" applyAlignment="1">
      <alignment horizontal="right" vertical="center"/>
    </xf>
    <xf numFmtId="0" fontId="2" fillId="8" borderId="15" xfId="0" applyFont="1" applyFill="1" applyBorder="1" applyAlignment="1">
      <alignment horizontal="right" vertical="center"/>
    </xf>
    <xf numFmtId="0" fontId="2" fillId="8" borderId="13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vertical="center" wrapText="1"/>
    </xf>
    <xf numFmtId="0" fontId="2" fillId="7" borderId="13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vertical="center" wrapText="1"/>
    </xf>
    <xf numFmtId="0" fontId="2" fillId="8" borderId="15" xfId="0" applyFont="1" applyFill="1" applyBorder="1" applyAlignment="1">
      <alignment vertical="center" wrapText="1"/>
    </xf>
    <xf numFmtId="0" fontId="2" fillId="8" borderId="13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8" borderId="16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1" fontId="6" fillId="6" borderId="21" xfId="0" applyNumberFormat="1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1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top"/>
    </xf>
    <xf numFmtId="1" fontId="3" fillId="3" borderId="2" xfId="0" applyNumberFormat="1" applyFont="1" applyFill="1" applyBorder="1" applyAlignment="1">
      <alignment horizontal="right" vertical="center"/>
    </xf>
    <xf numFmtId="1" fontId="2" fillId="4" borderId="9" xfId="0" applyNumberFormat="1" applyFont="1" applyFill="1" applyBorder="1" applyAlignment="1">
      <alignment horizontal="right" vertical="center"/>
    </xf>
    <xf numFmtId="1" fontId="2" fillId="4" borderId="11" xfId="0" applyNumberFormat="1" applyFont="1" applyFill="1" applyBorder="1" applyAlignment="1">
      <alignment horizontal="right" vertical="center"/>
    </xf>
    <xf numFmtId="1" fontId="2" fillId="4" borderId="13" xfId="0" applyNumberFormat="1" applyFont="1" applyFill="1" applyBorder="1" applyAlignment="1">
      <alignment horizontal="right" vertical="center"/>
    </xf>
    <xf numFmtId="0" fontId="2" fillId="4" borderId="17" xfId="0" applyNumberFormat="1" applyFont="1" applyFill="1" applyBorder="1" applyAlignment="1">
      <alignment horizontal="right" vertical="center"/>
    </xf>
    <xf numFmtId="0" fontId="2" fillId="4" borderId="11" xfId="0" applyNumberFormat="1" applyFont="1" applyFill="1" applyBorder="1" applyAlignment="1">
      <alignment horizontal="right" vertical="center"/>
    </xf>
    <xf numFmtId="0" fontId="2" fillId="4" borderId="15" xfId="0" applyNumberFormat="1" applyFont="1" applyFill="1" applyBorder="1" applyAlignment="1">
      <alignment horizontal="right" vertical="center"/>
    </xf>
    <xf numFmtId="0" fontId="2" fillId="4" borderId="9" xfId="0" applyNumberFormat="1" applyFont="1" applyFill="1" applyBorder="1" applyAlignment="1">
      <alignment horizontal="right" vertical="center"/>
    </xf>
    <xf numFmtId="0" fontId="2" fillId="4" borderId="13" xfId="0" applyNumberFormat="1" applyFont="1" applyFill="1" applyBorder="1" applyAlignment="1">
      <alignment horizontal="right" vertical="center"/>
    </xf>
    <xf numFmtId="165" fontId="2" fillId="4" borderId="17" xfId="0" applyNumberFormat="1" applyFont="1" applyFill="1" applyBorder="1" applyAlignment="1">
      <alignment horizontal="right" vertical="center"/>
    </xf>
    <xf numFmtId="166" fontId="2" fillId="4" borderId="9" xfId="0" applyNumberFormat="1" applyFont="1" applyFill="1" applyBorder="1" applyAlignment="1">
      <alignment horizontal="right" vertical="center"/>
    </xf>
    <xf numFmtId="165" fontId="2" fillId="4" borderId="11" xfId="0" applyNumberFormat="1" applyFont="1" applyFill="1" applyBorder="1" applyAlignment="1">
      <alignment horizontal="right" vertical="center"/>
    </xf>
    <xf numFmtId="0" fontId="2" fillId="5" borderId="11" xfId="0" applyNumberFormat="1" applyFont="1" applyFill="1" applyBorder="1" applyAlignment="1">
      <alignment horizontal="right" vertical="center"/>
    </xf>
    <xf numFmtId="0" fontId="2" fillId="5" borderId="15" xfId="0" applyNumberFormat="1" applyFont="1" applyFill="1" applyBorder="1" applyAlignment="1">
      <alignment horizontal="right" vertical="center"/>
    </xf>
    <xf numFmtId="0" fontId="2" fillId="5" borderId="9" xfId="0" applyNumberFormat="1" applyFont="1" applyFill="1" applyBorder="1" applyAlignment="1">
      <alignment horizontal="right" vertical="center"/>
    </xf>
    <xf numFmtId="0" fontId="2" fillId="5" borderId="13" xfId="0" applyNumberFormat="1" applyFont="1" applyFill="1" applyBorder="1" applyAlignment="1">
      <alignment horizontal="right" vertical="center"/>
    </xf>
    <xf numFmtId="168" fontId="2" fillId="5" borderId="11" xfId="0" applyNumberFormat="1" applyFont="1" applyFill="1" applyBorder="1" applyAlignment="1">
      <alignment horizontal="right" vertical="center"/>
    </xf>
    <xf numFmtId="169" fontId="2" fillId="5" borderId="11" xfId="0" applyNumberFormat="1" applyFont="1" applyFill="1" applyBorder="1" applyAlignment="1">
      <alignment horizontal="right" vertical="center"/>
    </xf>
    <xf numFmtId="0" fontId="2" fillId="7" borderId="9" xfId="0" applyNumberFormat="1" applyFont="1" applyFill="1" applyBorder="1" applyAlignment="1">
      <alignment horizontal="right" vertical="center"/>
    </xf>
    <xf numFmtId="0" fontId="2" fillId="7" borderId="11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>
      <alignment horizontal="right" vertical="center"/>
    </xf>
    <xf numFmtId="0" fontId="2" fillId="7" borderId="13" xfId="0" applyNumberFormat="1" applyFont="1" applyFill="1" applyBorder="1" applyAlignment="1">
      <alignment horizontal="right" vertical="center"/>
    </xf>
    <xf numFmtId="0" fontId="2" fillId="8" borderId="9" xfId="0" applyNumberFormat="1" applyFont="1" applyFill="1" applyBorder="1" applyAlignment="1">
      <alignment horizontal="right" vertical="center"/>
    </xf>
    <xf numFmtId="0" fontId="2" fillId="8" borderId="11" xfId="0" applyNumberFormat="1" applyFont="1" applyFill="1" applyBorder="1" applyAlignment="1">
      <alignment horizontal="right" vertical="center"/>
    </xf>
    <xf numFmtId="0" fontId="2" fillId="8" borderId="15" xfId="0" applyNumberFormat="1" applyFont="1" applyFill="1" applyBorder="1" applyAlignment="1">
      <alignment horizontal="right" vertical="center"/>
    </xf>
    <xf numFmtId="168" fontId="2" fillId="8" borderId="9" xfId="0" applyNumberFormat="1" applyFont="1" applyFill="1" applyBorder="1" applyAlignment="1">
      <alignment horizontal="right" vertical="center"/>
    </xf>
    <xf numFmtId="169" fontId="2" fillId="8" borderId="9" xfId="0" applyNumberFormat="1" applyFont="1" applyFill="1" applyBorder="1" applyAlignment="1">
      <alignment horizontal="right" vertical="center"/>
    </xf>
    <xf numFmtId="168" fontId="2" fillId="8" borderId="11" xfId="0" applyNumberFormat="1" applyFont="1" applyFill="1" applyBorder="1" applyAlignment="1">
      <alignment horizontal="right" vertical="center"/>
    </xf>
    <xf numFmtId="0" fontId="2" fillId="8" borderId="13" xfId="0" applyNumberFormat="1" applyFont="1" applyFill="1" applyBorder="1" applyAlignment="1">
      <alignment horizontal="right" vertical="center"/>
    </xf>
    <xf numFmtId="1" fontId="2" fillId="2" borderId="0" xfId="0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167" fontId="2" fillId="4" borderId="9" xfId="0" applyNumberFormat="1" applyFont="1" applyFill="1" applyBorder="1" applyAlignment="1">
      <alignment horizontal="right" vertical="center"/>
    </xf>
    <xf numFmtId="168" fontId="2" fillId="4" borderId="11" xfId="0" applyNumberFormat="1" applyFont="1" applyFill="1" applyBorder="1" applyAlignment="1">
      <alignment horizontal="right" vertical="center"/>
    </xf>
    <xf numFmtId="169" fontId="2" fillId="4" borderId="11" xfId="0" applyNumberFormat="1" applyFont="1" applyFill="1" applyBorder="1" applyAlignment="1">
      <alignment horizontal="right" vertical="center"/>
    </xf>
    <xf numFmtId="167" fontId="2" fillId="4" borderId="11" xfId="0" applyNumberFormat="1" applyFont="1" applyFill="1" applyBorder="1" applyAlignment="1">
      <alignment horizontal="right" vertical="center"/>
    </xf>
    <xf numFmtId="170" fontId="2" fillId="4" borderId="9" xfId="0" applyNumberFormat="1" applyFont="1" applyFill="1" applyBorder="1" applyAlignment="1">
      <alignment horizontal="right" vertical="center"/>
    </xf>
    <xf numFmtId="170" fontId="2" fillId="4" borderId="11" xfId="0" applyNumberFormat="1" applyFont="1" applyFill="1" applyBorder="1" applyAlignment="1">
      <alignment horizontal="right" vertical="center"/>
    </xf>
    <xf numFmtId="174" fontId="2" fillId="4" borderId="11" xfId="0" applyNumberFormat="1" applyFont="1" applyFill="1" applyBorder="1" applyAlignment="1">
      <alignment horizontal="right" vertical="center"/>
    </xf>
    <xf numFmtId="2" fontId="2" fillId="5" borderId="15" xfId="0" applyNumberFormat="1" applyFont="1" applyFill="1" applyBorder="1" applyAlignment="1">
      <alignment horizontal="right" vertical="center"/>
    </xf>
    <xf numFmtId="2" fontId="2" fillId="5" borderId="13" xfId="0" applyNumberFormat="1" applyFont="1" applyFill="1" applyBorder="1" applyAlignment="1">
      <alignment horizontal="right" vertical="center"/>
    </xf>
    <xf numFmtId="171" fontId="2" fillId="5" borderId="11" xfId="0" applyNumberFormat="1" applyFont="1" applyFill="1" applyBorder="1" applyAlignment="1">
      <alignment horizontal="right" vertical="center"/>
    </xf>
    <xf numFmtId="171" fontId="2" fillId="5" borderId="15" xfId="0" applyNumberFormat="1" applyFont="1" applyFill="1" applyBorder="1" applyAlignment="1">
      <alignment horizontal="right" vertical="center"/>
    </xf>
    <xf numFmtId="172" fontId="2" fillId="5" borderId="13" xfId="0" applyNumberFormat="1" applyFont="1" applyFill="1" applyBorder="1" applyAlignment="1">
      <alignment horizontal="right" vertical="center"/>
    </xf>
    <xf numFmtId="165" fontId="2" fillId="5" borderId="11" xfId="0" applyNumberFormat="1" applyFont="1" applyFill="1" applyBorder="1" applyAlignment="1">
      <alignment horizontal="right" vertical="center"/>
    </xf>
    <xf numFmtId="1" fontId="2" fillId="7" borderId="11" xfId="0" applyNumberFormat="1" applyFont="1" applyFill="1" applyBorder="1" applyAlignment="1">
      <alignment horizontal="right" vertical="center"/>
    </xf>
    <xf numFmtId="1" fontId="2" fillId="7" borderId="15" xfId="0" applyNumberFormat="1" applyFont="1" applyFill="1" applyBorder="1" applyAlignment="1">
      <alignment horizontal="right" vertical="center"/>
    </xf>
    <xf numFmtId="165" fontId="2" fillId="7" borderId="9" xfId="0" applyNumberFormat="1" applyFont="1" applyFill="1" applyBorder="1" applyAlignment="1">
      <alignment horizontal="right" vertical="center"/>
    </xf>
    <xf numFmtId="1" fontId="2" fillId="8" borderId="11" xfId="0" applyNumberFormat="1" applyFont="1" applyFill="1" applyBorder="1" applyAlignment="1">
      <alignment horizontal="right" vertical="center"/>
    </xf>
    <xf numFmtId="1" fontId="2" fillId="8" borderId="15" xfId="0" applyNumberFormat="1" applyFont="1" applyFill="1" applyBorder="1" applyAlignment="1">
      <alignment horizontal="right" vertical="center"/>
    </xf>
    <xf numFmtId="165" fontId="2" fillId="8" borderId="9" xfId="0" applyNumberFormat="1" applyFont="1" applyFill="1" applyBorder="1" applyAlignment="1">
      <alignment horizontal="right" vertical="center"/>
    </xf>
    <xf numFmtId="165" fontId="2" fillId="8" borderId="11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horizontal="right" vertical="center"/>
    </xf>
    <xf numFmtId="165" fontId="2" fillId="4" borderId="9" xfId="0" applyNumberFormat="1" applyFont="1" applyFill="1" applyBorder="1" applyAlignment="1">
      <alignment horizontal="right" vertical="center"/>
    </xf>
    <xf numFmtId="173" fontId="2" fillId="5" borderId="13" xfId="0" applyNumberFormat="1" applyFont="1" applyFill="1" applyBorder="1" applyAlignment="1">
      <alignment horizontal="right" vertical="center"/>
    </xf>
    <xf numFmtId="165" fontId="2" fillId="5" borderId="15" xfId="0" applyNumberFormat="1" applyFont="1" applyFill="1" applyBorder="1" applyAlignment="1">
      <alignment horizontal="right" vertical="center"/>
    </xf>
    <xf numFmtId="174" fontId="2" fillId="7" borderId="9" xfId="0" applyNumberFormat="1" applyFont="1" applyFill="1" applyBorder="1" applyAlignment="1">
      <alignment horizontal="right" vertical="center"/>
    </xf>
    <xf numFmtId="167" fontId="2" fillId="7" borderId="9" xfId="0" applyNumberFormat="1" applyFont="1" applyFill="1" applyBorder="1" applyAlignment="1">
      <alignment horizontal="right" vertical="center"/>
    </xf>
    <xf numFmtId="174" fontId="2" fillId="7" borderId="11" xfId="0" applyNumberFormat="1" applyFont="1" applyFill="1" applyBorder="1" applyAlignment="1">
      <alignment horizontal="right" vertical="center"/>
    </xf>
    <xf numFmtId="166" fontId="2" fillId="7" borderId="11" xfId="0" applyNumberFormat="1" applyFont="1" applyFill="1" applyBorder="1" applyAlignment="1">
      <alignment horizontal="right" vertical="center"/>
    </xf>
    <xf numFmtId="165" fontId="2" fillId="7" borderId="11" xfId="0" applyNumberFormat="1" applyFont="1" applyFill="1" applyBorder="1" applyAlignment="1">
      <alignment horizontal="right" vertical="center"/>
    </xf>
    <xf numFmtId="169" fontId="2" fillId="7" borderId="2" xfId="0" applyNumberFormat="1" applyFont="1" applyFill="1" applyBorder="1" applyAlignment="1">
      <alignment horizontal="right" vertical="center"/>
    </xf>
    <xf numFmtId="167" fontId="2" fillId="7" borderId="11" xfId="0" applyNumberFormat="1" applyFont="1" applyFill="1" applyBorder="1" applyAlignment="1">
      <alignment horizontal="right" vertical="center"/>
    </xf>
    <xf numFmtId="166" fontId="2" fillId="7" borderId="13" xfId="0" applyNumberFormat="1" applyFont="1" applyFill="1" applyBorder="1" applyAlignment="1">
      <alignment horizontal="right" vertical="center"/>
    </xf>
    <xf numFmtId="167" fontId="2" fillId="8" borderId="9" xfId="0" applyNumberFormat="1" applyFont="1" applyFill="1" applyBorder="1" applyAlignment="1">
      <alignment horizontal="right" vertical="center"/>
    </xf>
    <xf numFmtId="169" fontId="2" fillId="8" borderId="2" xfId="0" applyNumberFormat="1" applyFont="1" applyFill="1" applyBorder="1" applyAlignment="1">
      <alignment horizontal="right" vertical="center"/>
    </xf>
    <xf numFmtId="167" fontId="2" fillId="8" borderId="1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right" vertical="center"/>
    </xf>
    <xf numFmtId="168" fontId="2" fillId="4" borderId="9" xfId="0" applyNumberFormat="1" applyFont="1" applyFill="1" applyBorder="1" applyAlignment="1">
      <alignment horizontal="right" vertical="center"/>
    </xf>
    <xf numFmtId="175" fontId="2" fillId="4" borderId="11" xfId="0" applyNumberFormat="1" applyFont="1" applyFill="1" applyBorder="1" applyAlignment="1">
      <alignment horizontal="right" vertical="center"/>
    </xf>
    <xf numFmtId="176" fontId="2" fillId="4" borderId="11" xfId="0" applyNumberFormat="1" applyFont="1" applyFill="1" applyBorder="1" applyAlignment="1">
      <alignment horizontal="right" vertical="center"/>
    </xf>
    <xf numFmtId="177" fontId="2" fillId="4" borderId="13" xfId="0" applyNumberFormat="1" applyFont="1" applyFill="1" applyBorder="1" applyAlignment="1">
      <alignment horizontal="right" vertical="center"/>
    </xf>
    <xf numFmtId="169" fontId="2" fillId="4" borderId="17" xfId="0" applyNumberFormat="1" applyFont="1" applyFill="1" applyBorder="1" applyAlignment="1">
      <alignment horizontal="right" vertical="center"/>
    </xf>
    <xf numFmtId="178" fontId="2" fillId="4" borderId="11" xfId="0" applyNumberFormat="1" applyFont="1" applyFill="1" applyBorder="1" applyAlignment="1">
      <alignment horizontal="right" vertical="center"/>
    </xf>
    <xf numFmtId="179" fontId="2" fillId="4" borderId="11" xfId="0" applyNumberFormat="1" applyFont="1" applyFill="1" applyBorder="1" applyAlignment="1">
      <alignment horizontal="right" vertical="center"/>
    </xf>
    <xf numFmtId="180" fontId="2" fillId="4" borderId="11" xfId="0" applyNumberFormat="1" applyFont="1" applyFill="1" applyBorder="1" applyAlignment="1">
      <alignment horizontal="right" vertical="center"/>
    </xf>
    <xf numFmtId="181" fontId="2" fillId="4" borderId="11" xfId="0" applyNumberFormat="1" applyFont="1" applyFill="1" applyBorder="1" applyAlignment="1">
      <alignment horizontal="right" vertical="center"/>
    </xf>
    <xf numFmtId="0" fontId="1" fillId="6" borderId="19" xfId="0" applyNumberFormat="1" applyFont="1" applyFill="1" applyBorder="1" applyAlignment="1">
      <alignment horizontal="right" vertical="center"/>
    </xf>
    <xf numFmtId="175" fontId="2" fillId="5" borderId="9" xfId="0" applyNumberFormat="1" applyFont="1" applyFill="1" applyBorder="1" applyAlignment="1">
      <alignment horizontal="right" vertical="center"/>
    </xf>
    <xf numFmtId="178" fontId="2" fillId="5" borderId="11" xfId="0" applyNumberFormat="1" applyFont="1" applyFill="1" applyBorder="1" applyAlignment="1">
      <alignment horizontal="right" vertical="center"/>
    </xf>
    <xf numFmtId="175" fontId="2" fillId="5" borderId="11" xfId="0" applyNumberFormat="1" applyFont="1" applyFill="1" applyBorder="1" applyAlignment="1">
      <alignment horizontal="right" vertical="center"/>
    </xf>
    <xf numFmtId="171" fontId="2" fillId="8" borderId="11" xfId="0" applyNumberFormat="1" applyFont="1" applyFill="1" applyBorder="1" applyAlignment="1">
      <alignment horizontal="right" vertical="center"/>
    </xf>
    <xf numFmtId="165" fontId="2" fillId="8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6600"/>
      <color rgb="FF0000FF"/>
      <color rgb="FF0111A7"/>
      <color rgb="FFFFF9E7"/>
      <color rgb="FFE7FFFF"/>
      <color rgb="FFDDDBDB"/>
      <color rgb="FFDEE2EE"/>
      <color rgb="FFFFFFCD"/>
      <color rgb="FFD5CEF2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2D612-E758-4630-A36B-13948CDD1375}">
  <dimension ref="A1:Y113"/>
  <sheetViews>
    <sheetView tabSelected="1" zoomScale="115" zoomScaleNormal="115" zoomScaleSheetLayoutView="70" workbookViewId="0">
      <pane xSplit="5" ySplit="2" topLeftCell="F3" activePane="bottomRight" state="frozenSplit"/>
      <selection pane="topRight" activeCell="F1" sqref="F1"/>
      <selection pane="bottomLeft" activeCell="A3" sqref="A3"/>
      <selection pane="bottomRight" activeCell="F16" sqref="F16"/>
    </sheetView>
  </sheetViews>
  <sheetFormatPr baseColWidth="10" defaultRowHeight="24.95" customHeight="1" x14ac:dyDescent="0.3"/>
  <cols>
    <col min="1" max="1" width="5.7109375" style="30" bestFit="1" customWidth="1"/>
    <col min="2" max="2" width="7" style="31" bestFit="1" customWidth="1"/>
    <col min="3" max="3" width="11" style="26" bestFit="1" customWidth="1"/>
    <col min="4" max="4" width="3.85546875" style="82" bestFit="1" customWidth="1"/>
    <col min="5" max="5" width="2.7109375" style="73" bestFit="1" customWidth="1"/>
    <col min="6" max="6" width="35.85546875" style="267" bestFit="1" customWidth="1"/>
    <col min="7" max="7" width="7" style="32" bestFit="1" customWidth="1"/>
    <col min="8" max="8" width="11" style="33" bestFit="1" customWidth="1"/>
    <col min="9" max="9" width="3.7109375" style="82" customWidth="1"/>
    <col min="10" max="10" width="3.7109375" style="73" customWidth="1"/>
    <col min="11" max="11" width="40.7109375" style="289" customWidth="1"/>
    <col min="12" max="12" width="5.42578125" style="32" bestFit="1" customWidth="1"/>
    <col min="13" max="13" width="11.5703125" style="33" customWidth="1"/>
    <col min="14" max="14" width="3.7109375" style="82" customWidth="1"/>
    <col min="15" max="15" width="3.7109375" style="73" customWidth="1"/>
    <col min="16" max="16" width="36.7109375" style="289" customWidth="1"/>
    <col min="17" max="17" width="5.42578125" style="31" bestFit="1" customWidth="1"/>
    <col min="18" max="18" width="10.5703125" style="26" bestFit="1" customWidth="1"/>
    <col min="19" max="19" width="3.7109375" style="82" customWidth="1"/>
    <col min="20" max="20" width="3.7109375" style="73" customWidth="1"/>
    <col min="21" max="21" width="40.140625" style="320" customWidth="1"/>
    <col min="22" max="22" width="6.7109375" style="31" customWidth="1"/>
    <col min="23" max="23" width="10.5703125" style="26" bestFit="1" customWidth="1"/>
    <col min="24" max="24" width="3.7109375" style="82" customWidth="1"/>
    <col min="25" max="25" width="3.7109375" style="73" customWidth="1"/>
    <col min="26" max="16384" width="11.42578125" style="26"/>
  </cols>
  <sheetData>
    <row r="1" spans="1:25" ht="17.100000000000001" customHeight="1" x14ac:dyDescent="0.3">
      <c r="A1" s="322" t="s">
        <v>16</v>
      </c>
      <c r="B1" s="323"/>
      <c r="C1" s="323"/>
      <c r="D1" s="74"/>
      <c r="E1" s="83"/>
      <c r="F1" s="238"/>
      <c r="G1" s="24"/>
      <c r="H1" s="24"/>
      <c r="I1" s="74"/>
      <c r="J1" s="83"/>
      <c r="K1" s="140"/>
      <c r="L1" s="1"/>
      <c r="M1" s="1"/>
      <c r="N1" s="140"/>
      <c r="O1" s="184"/>
      <c r="P1" s="74"/>
      <c r="Q1" s="25"/>
      <c r="R1" s="46"/>
      <c r="S1" s="140"/>
      <c r="T1" s="184"/>
      <c r="U1" s="304"/>
      <c r="V1" s="46"/>
      <c r="W1" s="46"/>
      <c r="X1" s="140"/>
      <c r="Y1" s="184"/>
    </row>
    <row r="2" spans="1:25" s="37" customFormat="1" ht="17.100000000000001" customHeight="1" thickBot="1" x14ac:dyDescent="0.35">
      <c r="A2" s="34" t="s">
        <v>15</v>
      </c>
      <c r="B2" s="321" t="s">
        <v>23</v>
      </c>
      <c r="C2" s="321"/>
      <c r="D2" s="321"/>
      <c r="E2" s="324"/>
      <c r="F2" s="35" t="s">
        <v>21</v>
      </c>
      <c r="G2" s="321" t="s">
        <v>23</v>
      </c>
      <c r="H2" s="321"/>
      <c r="I2" s="237"/>
      <c r="J2" s="183"/>
      <c r="K2" s="237" t="s">
        <v>21</v>
      </c>
      <c r="L2" s="321" t="s">
        <v>23</v>
      </c>
      <c r="M2" s="321"/>
      <c r="N2" s="237"/>
      <c r="O2" s="183"/>
      <c r="P2" s="36" t="s">
        <v>21</v>
      </c>
      <c r="Q2" s="321" t="s">
        <v>23</v>
      </c>
      <c r="R2" s="321"/>
      <c r="S2" s="237"/>
      <c r="T2" s="183"/>
      <c r="U2" s="101" t="s">
        <v>21</v>
      </c>
      <c r="V2" s="321" t="s">
        <v>23</v>
      </c>
      <c r="W2" s="321"/>
      <c r="X2" s="237"/>
      <c r="Y2" s="183"/>
    </row>
    <row r="3" spans="1:25" ht="24.95" customHeight="1" x14ac:dyDescent="0.3">
      <c r="A3" s="38">
        <v>1</v>
      </c>
      <c r="B3" s="39" t="s">
        <v>1</v>
      </c>
      <c r="C3" s="70" t="s">
        <v>0</v>
      </c>
      <c r="D3" s="75">
        <v>2</v>
      </c>
      <c r="E3" s="84">
        <v>0</v>
      </c>
      <c r="F3" s="239">
        <f>A3*2^0</f>
        <v>1</v>
      </c>
      <c r="G3" s="55" t="s">
        <v>1</v>
      </c>
      <c r="H3" s="60" t="s">
        <v>0</v>
      </c>
      <c r="I3" s="176"/>
      <c r="J3" s="177"/>
      <c r="K3" s="268"/>
      <c r="L3" s="7"/>
      <c r="M3" s="90"/>
      <c r="N3" s="141"/>
      <c r="O3" s="185"/>
      <c r="P3" s="245"/>
      <c r="Q3" s="6"/>
      <c r="R3" s="191"/>
      <c r="S3" s="141"/>
      <c r="T3" s="185"/>
      <c r="U3" s="245"/>
      <c r="V3" s="6"/>
      <c r="W3" s="191"/>
      <c r="X3" s="141"/>
      <c r="Y3" s="185"/>
    </row>
    <row r="4" spans="1:25" ht="24.95" customHeight="1" x14ac:dyDescent="0.3">
      <c r="A4" s="40">
        <v>1</v>
      </c>
      <c r="B4" s="41" t="s">
        <v>2</v>
      </c>
      <c r="C4" s="66" t="s">
        <v>17</v>
      </c>
      <c r="D4" s="76">
        <v>2</v>
      </c>
      <c r="E4" s="85">
        <v>3</v>
      </c>
      <c r="F4" s="240">
        <f>A4*2^3</f>
        <v>8</v>
      </c>
      <c r="G4" s="56" t="s">
        <v>1</v>
      </c>
      <c r="H4" s="57" t="s">
        <v>0</v>
      </c>
      <c r="I4" s="159"/>
      <c r="J4" s="178"/>
      <c r="K4" s="243"/>
      <c r="L4" s="7"/>
      <c r="M4" s="90"/>
      <c r="N4" s="142"/>
      <c r="O4" s="186"/>
      <c r="P4" s="243"/>
      <c r="Q4" s="8"/>
      <c r="R4" s="192"/>
      <c r="S4" s="142"/>
      <c r="T4" s="186"/>
      <c r="U4" s="243"/>
      <c r="V4" s="8"/>
      <c r="W4" s="192"/>
      <c r="X4" s="142"/>
      <c r="Y4" s="186"/>
    </row>
    <row r="5" spans="1:25" ht="24.95" customHeight="1" x14ac:dyDescent="0.3">
      <c r="A5" s="40">
        <v>1</v>
      </c>
      <c r="B5" s="41" t="s">
        <v>5</v>
      </c>
      <c r="C5" s="66" t="s">
        <v>18</v>
      </c>
      <c r="D5" s="75">
        <v>10</v>
      </c>
      <c r="E5" s="84">
        <v>3</v>
      </c>
      <c r="F5" s="240">
        <f>A5*2^3*10^3</f>
        <v>8000</v>
      </c>
      <c r="G5" s="56" t="s">
        <v>1</v>
      </c>
      <c r="H5" s="57" t="s">
        <v>0</v>
      </c>
      <c r="I5" s="159"/>
      <c r="J5" s="178"/>
      <c r="K5" s="243"/>
      <c r="L5" s="7"/>
      <c r="M5" s="90"/>
      <c r="N5" s="142"/>
      <c r="O5" s="186"/>
      <c r="P5" s="243"/>
      <c r="Q5" s="8"/>
      <c r="R5" s="192"/>
      <c r="S5" s="142"/>
      <c r="T5" s="186"/>
      <c r="U5" s="243"/>
      <c r="V5" s="8"/>
      <c r="W5" s="192"/>
      <c r="X5" s="142"/>
      <c r="Y5" s="186"/>
    </row>
    <row r="6" spans="1:25" ht="24.95" customHeight="1" x14ac:dyDescent="0.3">
      <c r="A6" s="40">
        <v>1</v>
      </c>
      <c r="B6" s="41" t="s">
        <v>8</v>
      </c>
      <c r="C6" s="66" t="s">
        <v>19</v>
      </c>
      <c r="D6" s="76">
        <v>10</v>
      </c>
      <c r="E6" s="85">
        <v>6</v>
      </c>
      <c r="F6" s="240">
        <f>A6*2^3*10^6</f>
        <v>8000000</v>
      </c>
      <c r="G6" s="56" t="s">
        <v>1</v>
      </c>
      <c r="H6" s="57" t="s">
        <v>0</v>
      </c>
      <c r="I6" s="159"/>
      <c r="J6" s="178"/>
      <c r="K6" s="243"/>
      <c r="L6" s="7"/>
      <c r="M6" s="90"/>
      <c r="N6" s="142"/>
      <c r="O6" s="186"/>
      <c r="P6" s="243"/>
      <c r="Q6" s="8"/>
      <c r="R6" s="192"/>
      <c r="S6" s="142"/>
      <c r="T6" s="186"/>
      <c r="U6" s="243"/>
      <c r="V6" s="8"/>
      <c r="W6" s="192"/>
      <c r="X6" s="142"/>
      <c r="Y6" s="186"/>
    </row>
    <row r="7" spans="1:25" ht="24.95" customHeight="1" x14ac:dyDescent="0.3">
      <c r="A7" s="40">
        <v>1</v>
      </c>
      <c r="B7" s="41" t="s">
        <v>11</v>
      </c>
      <c r="C7" s="66" t="s">
        <v>20</v>
      </c>
      <c r="D7" s="76">
        <v>10</v>
      </c>
      <c r="E7" s="85">
        <v>9</v>
      </c>
      <c r="F7" s="240">
        <f>A7*2^3*10^9</f>
        <v>8000000000</v>
      </c>
      <c r="G7" s="56" t="s">
        <v>1</v>
      </c>
      <c r="H7" s="57" t="s">
        <v>0</v>
      </c>
      <c r="I7" s="159"/>
      <c r="J7" s="178"/>
      <c r="K7" s="243"/>
      <c r="L7" s="7"/>
      <c r="M7" s="90"/>
      <c r="N7" s="142"/>
      <c r="O7" s="186"/>
      <c r="P7" s="243"/>
      <c r="Q7" s="8"/>
      <c r="R7" s="192"/>
      <c r="S7" s="142"/>
      <c r="T7" s="186"/>
      <c r="U7" s="243"/>
      <c r="V7" s="8"/>
      <c r="W7" s="192"/>
      <c r="X7" s="142"/>
      <c r="Y7" s="186"/>
    </row>
    <row r="8" spans="1:25" ht="24.95" customHeight="1" thickBot="1" x14ac:dyDescent="0.35">
      <c r="A8" s="42">
        <v>1</v>
      </c>
      <c r="B8" s="43" t="s">
        <v>13</v>
      </c>
      <c r="C8" s="69" t="s">
        <v>22</v>
      </c>
      <c r="D8" s="75">
        <v>10</v>
      </c>
      <c r="E8" s="84">
        <v>12</v>
      </c>
      <c r="F8" s="241">
        <f>A8*2^3*10^12</f>
        <v>8000000000000</v>
      </c>
      <c r="G8" s="58" t="s">
        <v>1</v>
      </c>
      <c r="H8" s="59" t="s">
        <v>0</v>
      </c>
      <c r="I8" s="160"/>
      <c r="J8" s="179"/>
      <c r="K8" s="246"/>
      <c r="L8" s="11"/>
      <c r="M8" s="91"/>
      <c r="N8" s="143"/>
      <c r="O8" s="187"/>
      <c r="P8" s="246"/>
      <c r="Q8" s="12"/>
      <c r="R8" s="193"/>
      <c r="S8" s="143"/>
      <c r="T8" s="187"/>
      <c r="U8" s="246"/>
      <c r="V8" s="12"/>
      <c r="W8" s="193"/>
      <c r="X8" s="143"/>
      <c r="Y8" s="187"/>
    </row>
    <row r="9" spans="1:25" ht="24.95" customHeight="1" x14ac:dyDescent="0.3">
      <c r="A9" s="3">
        <v>1</v>
      </c>
      <c r="B9" s="27" t="s">
        <v>1</v>
      </c>
      <c r="C9" s="67" t="s">
        <v>0</v>
      </c>
      <c r="D9" s="77">
        <v>2</v>
      </c>
      <c r="E9" s="86">
        <v>0</v>
      </c>
      <c r="F9" s="239">
        <f>A9*2^3</f>
        <v>8</v>
      </c>
      <c r="G9" s="55" t="s">
        <v>2</v>
      </c>
      <c r="H9" s="60" t="s">
        <v>17</v>
      </c>
      <c r="I9" s="161">
        <v>2</v>
      </c>
      <c r="J9" s="180">
        <v>3</v>
      </c>
      <c r="K9" s="245"/>
      <c r="L9" s="5"/>
      <c r="M9" s="92"/>
      <c r="N9" s="144"/>
      <c r="O9" s="188"/>
      <c r="P9" s="245"/>
      <c r="Q9" s="6"/>
      <c r="R9" s="191"/>
      <c r="S9" s="144"/>
      <c r="T9" s="188"/>
      <c r="U9" s="245"/>
      <c r="V9" s="6"/>
      <c r="W9" s="191"/>
      <c r="X9" s="144"/>
      <c r="Y9" s="188"/>
    </row>
    <row r="10" spans="1:25" ht="24.95" customHeight="1" x14ac:dyDescent="0.3">
      <c r="A10" s="40">
        <v>1</v>
      </c>
      <c r="B10" s="41" t="s">
        <v>2</v>
      </c>
      <c r="C10" s="66" t="s">
        <v>17</v>
      </c>
      <c r="D10" s="76">
        <v>2</v>
      </c>
      <c r="E10" s="85">
        <v>3</v>
      </c>
      <c r="F10" s="240">
        <f>A10*10^0</f>
        <v>1</v>
      </c>
      <c r="G10" s="56" t="s">
        <v>2</v>
      </c>
      <c r="H10" s="57" t="s">
        <v>17</v>
      </c>
      <c r="I10" s="159">
        <v>2</v>
      </c>
      <c r="J10" s="178">
        <v>3</v>
      </c>
      <c r="K10" s="243"/>
      <c r="L10" s="7"/>
      <c r="M10" s="90"/>
      <c r="N10" s="142"/>
      <c r="O10" s="186"/>
      <c r="P10" s="243"/>
      <c r="Q10" s="8"/>
      <c r="R10" s="192"/>
      <c r="S10" s="142"/>
      <c r="T10" s="186"/>
      <c r="U10" s="243"/>
      <c r="V10" s="8"/>
      <c r="W10" s="192"/>
      <c r="X10" s="142"/>
      <c r="Y10" s="186"/>
    </row>
    <row r="11" spans="1:25" ht="24.95" customHeight="1" x14ac:dyDescent="0.3">
      <c r="A11" s="40">
        <v>1</v>
      </c>
      <c r="B11" s="41" t="s">
        <v>5</v>
      </c>
      <c r="C11" s="66" t="s">
        <v>18</v>
      </c>
      <c r="D11" s="75">
        <v>10</v>
      </c>
      <c r="E11" s="84">
        <v>3</v>
      </c>
      <c r="F11" s="240">
        <f>A11*10^3</f>
        <v>1000</v>
      </c>
      <c r="G11" s="56" t="s">
        <v>2</v>
      </c>
      <c r="H11" s="57" t="s">
        <v>17</v>
      </c>
      <c r="I11" s="159">
        <v>2</v>
      </c>
      <c r="J11" s="178">
        <v>3</v>
      </c>
      <c r="K11" s="243"/>
      <c r="L11" s="7"/>
      <c r="M11" s="90"/>
      <c r="N11" s="142"/>
      <c r="O11" s="186"/>
      <c r="P11" s="243"/>
      <c r="Q11" s="8"/>
      <c r="R11" s="192"/>
      <c r="S11" s="142"/>
      <c r="T11" s="186"/>
      <c r="U11" s="243"/>
      <c r="V11" s="8"/>
      <c r="W11" s="192"/>
      <c r="X11" s="142"/>
      <c r="Y11" s="186"/>
    </row>
    <row r="12" spans="1:25" ht="24.95" customHeight="1" x14ac:dyDescent="0.3">
      <c r="A12" s="40">
        <v>1</v>
      </c>
      <c r="B12" s="41" t="s">
        <v>8</v>
      </c>
      <c r="C12" s="66" t="s">
        <v>19</v>
      </c>
      <c r="D12" s="76">
        <v>10</v>
      </c>
      <c r="E12" s="85">
        <v>6</v>
      </c>
      <c r="F12" s="240">
        <f>A12*10^6</f>
        <v>1000000</v>
      </c>
      <c r="G12" s="56" t="s">
        <v>2</v>
      </c>
      <c r="H12" s="57" t="s">
        <v>17</v>
      </c>
      <c r="I12" s="159">
        <v>2</v>
      </c>
      <c r="J12" s="178">
        <v>3</v>
      </c>
      <c r="K12" s="243"/>
      <c r="L12" s="7"/>
      <c r="M12" s="90"/>
      <c r="N12" s="142"/>
      <c r="O12" s="186"/>
      <c r="P12" s="243"/>
      <c r="Q12" s="8"/>
      <c r="R12" s="192"/>
      <c r="S12" s="142"/>
      <c r="T12" s="186"/>
      <c r="U12" s="243"/>
      <c r="V12" s="8"/>
      <c r="W12" s="192"/>
      <c r="X12" s="142"/>
      <c r="Y12" s="186"/>
    </row>
    <row r="13" spans="1:25" ht="24.95" customHeight="1" x14ac:dyDescent="0.3">
      <c r="A13" s="40">
        <v>1</v>
      </c>
      <c r="B13" s="41" t="s">
        <v>11</v>
      </c>
      <c r="C13" s="66" t="s">
        <v>20</v>
      </c>
      <c r="D13" s="76">
        <v>10</v>
      </c>
      <c r="E13" s="85">
        <v>9</v>
      </c>
      <c r="F13" s="240">
        <f>A13*10^9</f>
        <v>1000000000</v>
      </c>
      <c r="G13" s="56" t="s">
        <v>2</v>
      </c>
      <c r="H13" s="57" t="s">
        <v>17</v>
      </c>
      <c r="I13" s="159">
        <v>2</v>
      </c>
      <c r="J13" s="178">
        <v>3</v>
      </c>
      <c r="K13" s="243"/>
      <c r="L13" s="7"/>
      <c r="M13" s="90"/>
      <c r="N13" s="142"/>
      <c r="O13" s="186"/>
      <c r="P13" s="243"/>
      <c r="Q13" s="8"/>
      <c r="R13" s="192"/>
      <c r="S13" s="142"/>
      <c r="T13" s="186"/>
      <c r="U13" s="243"/>
      <c r="V13" s="8"/>
      <c r="W13" s="192"/>
      <c r="X13" s="142"/>
      <c r="Y13" s="186"/>
    </row>
    <row r="14" spans="1:25" ht="24.95" customHeight="1" thickBot="1" x14ac:dyDescent="0.35">
      <c r="A14" s="2">
        <v>1</v>
      </c>
      <c r="B14" s="28" t="s">
        <v>13</v>
      </c>
      <c r="C14" s="65" t="s">
        <v>22</v>
      </c>
      <c r="D14" s="75">
        <v>10</v>
      </c>
      <c r="E14" s="84">
        <v>12</v>
      </c>
      <c r="F14" s="241">
        <f>A14*10^12</f>
        <v>1000000000000</v>
      </c>
      <c r="G14" s="58" t="s">
        <v>2</v>
      </c>
      <c r="H14" s="59" t="s">
        <v>17</v>
      </c>
      <c r="I14" s="160">
        <v>2</v>
      </c>
      <c r="J14" s="179">
        <v>3</v>
      </c>
      <c r="K14" s="246"/>
      <c r="L14" s="11"/>
      <c r="M14" s="91"/>
      <c r="N14" s="143"/>
      <c r="O14" s="187"/>
      <c r="P14" s="246"/>
      <c r="Q14" s="12"/>
      <c r="R14" s="193"/>
      <c r="S14" s="143"/>
      <c r="T14" s="187"/>
      <c r="U14" s="246"/>
      <c r="V14" s="12"/>
      <c r="W14" s="193"/>
      <c r="X14" s="143"/>
      <c r="Y14" s="187"/>
    </row>
    <row r="15" spans="1:25" ht="24.95" customHeight="1" x14ac:dyDescent="0.3">
      <c r="A15" s="38">
        <v>1</v>
      </c>
      <c r="B15" s="39" t="s">
        <v>1</v>
      </c>
      <c r="C15" s="70" t="s">
        <v>0</v>
      </c>
      <c r="D15" s="77">
        <v>2</v>
      </c>
      <c r="E15" s="86">
        <v>0</v>
      </c>
      <c r="F15" s="242">
        <f>A15/2^3/10^3</f>
        <v>1.25E-4</v>
      </c>
      <c r="G15" s="61" t="s">
        <v>5</v>
      </c>
      <c r="H15" s="62" t="s">
        <v>18</v>
      </c>
      <c r="I15" s="162">
        <v>10</v>
      </c>
      <c r="J15" s="181">
        <v>3</v>
      </c>
      <c r="K15" s="242">
        <f>A15/(2^3*2^10)</f>
        <v>1.220703125E-4</v>
      </c>
      <c r="L15" s="13" t="s">
        <v>6</v>
      </c>
      <c r="M15" s="93" t="s">
        <v>26</v>
      </c>
      <c r="N15" s="145">
        <v>2</v>
      </c>
      <c r="O15" s="189">
        <v>10</v>
      </c>
      <c r="P15" s="242">
        <f>A15/10^3</f>
        <v>1E-3</v>
      </c>
      <c r="Q15" s="14" t="s">
        <v>3</v>
      </c>
      <c r="R15" s="194" t="s">
        <v>29</v>
      </c>
      <c r="S15" s="145">
        <v>10</v>
      </c>
      <c r="T15" s="189">
        <v>3</v>
      </c>
      <c r="U15" s="268">
        <f>A15/2^10</f>
        <v>9.765625E-4</v>
      </c>
      <c r="V15" s="7" t="s">
        <v>41</v>
      </c>
      <c r="W15" s="90" t="s">
        <v>4</v>
      </c>
      <c r="X15" s="145">
        <v>2</v>
      </c>
      <c r="Y15" s="189">
        <v>10</v>
      </c>
    </row>
    <row r="16" spans="1:25" ht="24.95" customHeight="1" x14ac:dyDescent="0.3">
      <c r="A16" s="40">
        <v>1</v>
      </c>
      <c r="B16" s="41" t="s">
        <v>2</v>
      </c>
      <c r="C16" s="66" t="s">
        <v>17</v>
      </c>
      <c r="D16" s="76">
        <v>2</v>
      </c>
      <c r="E16" s="85">
        <v>3</v>
      </c>
      <c r="F16" s="243">
        <f>A16/10^3</f>
        <v>1E-3</v>
      </c>
      <c r="G16" s="56" t="s">
        <v>5</v>
      </c>
      <c r="H16" s="57" t="s">
        <v>18</v>
      </c>
      <c r="I16" s="159">
        <v>10</v>
      </c>
      <c r="J16" s="178">
        <v>3</v>
      </c>
      <c r="K16" s="243">
        <f>A16/2^10</f>
        <v>9.765625E-4</v>
      </c>
      <c r="L16" s="7" t="s">
        <v>6</v>
      </c>
      <c r="M16" s="90" t="s">
        <v>26</v>
      </c>
      <c r="N16" s="142">
        <v>2</v>
      </c>
      <c r="O16" s="186">
        <v>10</v>
      </c>
      <c r="P16" s="243">
        <f>A16/(10^3/2^3)</f>
        <v>8.0000000000000002E-3</v>
      </c>
      <c r="Q16" s="8" t="s">
        <v>3</v>
      </c>
      <c r="R16" s="192" t="s">
        <v>29</v>
      </c>
      <c r="S16" s="142">
        <v>10</v>
      </c>
      <c r="T16" s="186">
        <v>3</v>
      </c>
      <c r="U16" s="243">
        <f>A16/(2^10/2^3)</f>
        <v>7.8125E-3</v>
      </c>
      <c r="V16" s="7" t="s">
        <v>41</v>
      </c>
      <c r="W16" s="90" t="s">
        <v>4</v>
      </c>
      <c r="X16" s="142">
        <v>2</v>
      </c>
      <c r="Y16" s="186">
        <v>10</v>
      </c>
    </row>
    <row r="17" spans="1:25" ht="24.95" customHeight="1" x14ac:dyDescent="0.3">
      <c r="A17" s="40">
        <v>1</v>
      </c>
      <c r="B17" s="41" t="s">
        <v>5</v>
      </c>
      <c r="C17" s="66" t="s">
        <v>18</v>
      </c>
      <c r="D17" s="75">
        <v>10</v>
      </c>
      <c r="E17" s="84">
        <v>3</v>
      </c>
      <c r="F17" s="243">
        <f>A17*10^0</f>
        <v>1</v>
      </c>
      <c r="G17" s="56" t="s">
        <v>5</v>
      </c>
      <c r="H17" s="57" t="s">
        <v>18</v>
      </c>
      <c r="I17" s="159">
        <v>10</v>
      </c>
      <c r="J17" s="178">
        <v>3</v>
      </c>
      <c r="K17" s="243">
        <f>A17/(2^10/10^3)</f>
        <v>0.9765625</v>
      </c>
      <c r="L17" s="7" t="s">
        <v>6</v>
      </c>
      <c r="M17" s="90" t="s">
        <v>26</v>
      </c>
      <c r="N17" s="142">
        <v>2</v>
      </c>
      <c r="O17" s="186">
        <v>10</v>
      </c>
      <c r="P17" s="243">
        <f>A17*2^3</f>
        <v>8</v>
      </c>
      <c r="Q17" s="8" t="s">
        <v>3</v>
      </c>
      <c r="R17" s="192" t="s">
        <v>29</v>
      </c>
      <c r="S17" s="142">
        <v>10</v>
      </c>
      <c r="T17" s="186">
        <v>3</v>
      </c>
      <c r="U17" s="243">
        <f>A17*(10^3/2^10*2^3)</f>
        <v>7.8125</v>
      </c>
      <c r="V17" s="7" t="s">
        <v>41</v>
      </c>
      <c r="W17" s="90" t="s">
        <v>4</v>
      </c>
      <c r="X17" s="142">
        <v>2</v>
      </c>
      <c r="Y17" s="186">
        <v>10</v>
      </c>
    </row>
    <row r="18" spans="1:25" ht="24.95" customHeight="1" x14ac:dyDescent="0.3">
      <c r="A18" s="40">
        <v>1</v>
      </c>
      <c r="B18" s="41" t="s">
        <v>8</v>
      </c>
      <c r="C18" s="66" t="s">
        <v>19</v>
      </c>
      <c r="D18" s="76">
        <v>10</v>
      </c>
      <c r="E18" s="85">
        <v>6</v>
      </c>
      <c r="F18" s="243">
        <f>A18*10^3</f>
        <v>1000</v>
      </c>
      <c r="G18" s="56" t="s">
        <v>5</v>
      </c>
      <c r="H18" s="57" t="s">
        <v>18</v>
      </c>
      <c r="I18" s="159">
        <v>10</v>
      </c>
      <c r="J18" s="178">
        <v>3</v>
      </c>
      <c r="K18" s="243">
        <f>A18/(2^10/10^6)</f>
        <v>976.5625</v>
      </c>
      <c r="L18" s="7" t="s">
        <v>6</v>
      </c>
      <c r="M18" s="90" t="s">
        <v>26</v>
      </c>
      <c r="N18" s="142">
        <v>2</v>
      </c>
      <c r="O18" s="186">
        <v>10</v>
      </c>
      <c r="P18" s="243">
        <f>A18*2^3*10^3</f>
        <v>8000</v>
      </c>
      <c r="Q18" s="8" t="s">
        <v>3</v>
      </c>
      <c r="R18" s="192" t="s">
        <v>29</v>
      </c>
      <c r="S18" s="142">
        <v>10</v>
      </c>
      <c r="T18" s="186">
        <v>3</v>
      </c>
      <c r="U18" s="243">
        <f>A18*(10^6/2^10*2^3)</f>
        <v>7812.5</v>
      </c>
      <c r="V18" s="7" t="s">
        <v>41</v>
      </c>
      <c r="W18" s="90" t="s">
        <v>4</v>
      </c>
      <c r="X18" s="142">
        <v>2</v>
      </c>
      <c r="Y18" s="186">
        <v>10</v>
      </c>
    </row>
    <row r="19" spans="1:25" ht="24.95" customHeight="1" x14ac:dyDescent="0.3">
      <c r="A19" s="40">
        <v>1</v>
      </c>
      <c r="B19" s="41" t="s">
        <v>11</v>
      </c>
      <c r="C19" s="66" t="s">
        <v>20</v>
      </c>
      <c r="D19" s="76">
        <v>10</v>
      </c>
      <c r="E19" s="85">
        <v>9</v>
      </c>
      <c r="F19" s="243">
        <f>A19*10^6</f>
        <v>1000000</v>
      </c>
      <c r="G19" s="56" t="s">
        <v>5</v>
      </c>
      <c r="H19" s="57" t="s">
        <v>18</v>
      </c>
      <c r="I19" s="159">
        <v>10</v>
      </c>
      <c r="J19" s="178">
        <v>3</v>
      </c>
      <c r="K19" s="243">
        <f>A19/(2^10/10^9)</f>
        <v>976562.49999999988</v>
      </c>
      <c r="L19" s="7" t="s">
        <v>6</v>
      </c>
      <c r="M19" s="90" t="s">
        <v>26</v>
      </c>
      <c r="N19" s="142">
        <v>2</v>
      </c>
      <c r="O19" s="186">
        <v>10</v>
      </c>
      <c r="P19" s="243">
        <f>A19*2^3*10^6</f>
        <v>8000000</v>
      </c>
      <c r="Q19" s="8" t="s">
        <v>3</v>
      </c>
      <c r="R19" s="192" t="s">
        <v>29</v>
      </c>
      <c r="S19" s="142">
        <v>10</v>
      </c>
      <c r="T19" s="186">
        <v>3</v>
      </c>
      <c r="U19" s="243">
        <f>A19*(10^9/2^10*2^3)</f>
        <v>7812500</v>
      </c>
      <c r="V19" s="7" t="s">
        <v>41</v>
      </c>
      <c r="W19" s="90" t="s">
        <v>4</v>
      </c>
      <c r="X19" s="142">
        <v>2</v>
      </c>
      <c r="Y19" s="186">
        <v>10</v>
      </c>
    </row>
    <row r="20" spans="1:25" ht="24.95" customHeight="1" thickBot="1" x14ac:dyDescent="0.35">
      <c r="A20" s="2">
        <v>1</v>
      </c>
      <c r="B20" s="28" t="s">
        <v>13</v>
      </c>
      <c r="C20" s="65" t="s">
        <v>22</v>
      </c>
      <c r="D20" s="75">
        <v>10</v>
      </c>
      <c r="E20" s="84">
        <v>12</v>
      </c>
      <c r="F20" s="244">
        <f>A20*10^9</f>
        <v>1000000000</v>
      </c>
      <c r="G20" s="63" t="s">
        <v>5</v>
      </c>
      <c r="H20" s="64" t="s">
        <v>18</v>
      </c>
      <c r="I20" s="163">
        <v>10</v>
      </c>
      <c r="J20" s="182">
        <v>3</v>
      </c>
      <c r="K20" s="243">
        <f>A20/(2^10/10^12)</f>
        <v>976562500</v>
      </c>
      <c r="L20" s="9" t="s">
        <v>6</v>
      </c>
      <c r="M20" s="94" t="s">
        <v>26</v>
      </c>
      <c r="N20" s="146">
        <v>2</v>
      </c>
      <c r="O20" s="190">
        <v>10</v>
      </c>
      <c r="P20" s="244">
        <f>A20*2^3*10^9</f>
        <v>8000000000</v>
      </c>
      <c r="Q20" s="10" t="s">
        <v>3</v>
      </c>
      <c r="R20" s="195" t="s">
        <v>29</v>
      </c>
      <c r="S20" s="146">
        <v>10</v>
      </c>
      <c r="T20" s="190">
        <v>3</v>
      </c>
      <c r="U20" s="246">
        <f>A20*(10^12/2^10*2^3)</f>
        <v>7812500000</v>
      </c>
      <c r="V20" s="9" t="s">
        <v>41</v>
      </c>
      <c r="W20" s="91" t="s">
        <v>4</v>
      </c>
      <c r="X20" s="146">
        <v>2</v>
      </c>
      <c r="Y20" s="190">
        <v>10</v>
      </c>
    </row>
    <row r="21" spans="1:25" ht="24.95" customHeight="1" x14ac:dyDescent="0.3">
      <c r="A21" s="3">
        <v>1</v>
      </c>
      <c r="B21" s="27" t="s">
        <v>1</v>
      </c>
      <c r="C21" s="67" t="s">
        <v>0</v>
      </c>
      <c r="D21" s="77">
        <v>2</v>
      </c>
      <c r="E21" s="86">
        <v>0</v>
      </c>
      <c r="F21" s="245">
        <f>A21/2^3/10^6</f>
        <v>1.2499999999999999E-7</v>
      </c>
      <c r="G21" s="55" t="s">
        <v>8</v>
      </c>
      <c r="H21" s="60" t="s">
        <v>19</v>
      </c>
      <c r="I21" s="161">
        <v>10</v>
      </c>
      <c r="J21" s="180">
        <v>6</v>
      </c>
      <c r="K21" s="269">
        <f>A21/(2^3*2^20)</f>
        <v>1.1920928955078125E-7</v>
      </c>
      <c r="L21" s="5" t="s">
        <v>9</v>
      </c>
      <c r="M21" s="92" t="s">
        <v>25</v>
      </c>
      <c r="N21" s="144">
        <v>2</v>
      </c>
      <c r="O21" s="188">
        <v>20</v>
      </c>
      <c r="P21" s="245">
        <f>A21/10^6</f>
        <v>9.9999999999999995E-7</v>
      </c>
      <c r="Q21" s="6" t="s">
        <v>7</v>
      </c>
      <c r="R21" s="191" t="s">
        <v>30</v>
      </c>
      <c r="S21" s="144">
        <v>10</v>
      </c>
      <c r="T21" s="188">
        <v>6</v>
      </c>
      <c r="U21" s="305">
        <f>A21/2^20</f>
        <v>9.5367431640625E-7</v>
      </c>
      <c r="V21" s="5" t="s">
        <v>42</v>
      </c>
      <c r="W21" s="90" t="s">
        <v>34</v>
      </c>
      <c r="X21" s="144">
        <v>2</v>
      </c>
      <c r="Y21" s="188">
        <v>20</v>
      </c>
    </row>
    <row r="22" spans="1:25" ht="24.95" customHeight="1" x14ac:dyDescent="0.3">
      <c r="A22" s="40">
        <v>1</v>
      </c>
      <c r="B22" s="41" t="s">
        <v>2</v>
      </c>
      <c r="C22" s="66" t="s">
        <v>17</v>
      </c>
      <c r="D22" s="76">
        <v>2</v>
      </c>
      <c r="E22" s="85">
        <v>3</v>
      </c>
      <c r="F22" s="243">
        <f>A22/10^6</f>
        <v>9.9999999999999995E-7</v>
      </c>
      <c r="G22" s="56" t="s">
        <v>8</v>
      </c>
      <c r="H22" s="57" t="s">
        <v>19</v>
      </c>
      <c r="I22" s="159">
        <v>10</v>
      </c>
      <c r="J22" s="178">
        <v>6</v>
      </c>
      <c r="K22" s="270">
        <f>A22/(2^20)</f>
        <v>9.5367431640625E-7</v>
      </c>
      <c r="L22" s="7" t="s">
        <v>9</v>
      </c>
      <c r="M22" s="90" t="s">
        <v>25</v>
      </c>
      <c r="N22" s="142">
        <v>2</v>
      </c>
      <c r="O22" s="186">
        <v>20</v>
      </c>
      <c r="P22" s="243">
        <f>A22/(10^6/2^3)</f>
        <v>7.9999999999999996E-6</v>
      </c>
      <c r="Q22" s="8" t="s">
        <v>7</v>
      </c>
      <c r="R22" s="192" t="s">
        <v>30</v>
      </c>
      <c r="S22" s="142">
        <v>10</v>
      </c>
      <c r="T22" s="186">
        <v>6</v>
      </c>
      <c r="U22" s="306">
        <f>A22/(2^20/2^3)</f>
        <v>7.62939453125E-6</v>
      </c>
      <c r="V22" s="7" t="s">
        <v>42</v>
      </c>
      <c r="W22" s="90" t="s">
        <v>34</v>
      </c>
      <c r="X22" s="142">
        <v>2</v>
      </c>
      <c r="Y22" s="186">
        <v>20</v>
      </c>
    </row>
    <row r="23" spans="1:25" ht="24.95" customHeight="1" x14ac:dyDescent="0.3">
      <c r="A23" s="40">
        <v>1</v>
      </c>
      <c r="B23" s="41" t="s">
        <v>5</v>
      </c>
      <c r="C23" s="66" t="s">
        <v>18</v>
      </c>
      <c r="D23" s="75">
        <v>10</v>
      </c>
      <c r="E23" s="84">
        <v>3</v>
      </c>
      <c r="F23" s="243">
        <f>A23/10^3</f>
        <v>1E-3</v>
      </c>
      <c r="G23" s="56" t="s">
        <v>8</v>
      </c>
      <c r="H23" s="57" t="s">
        <v>19</v>
      </c>
      <c r="I23" s="159">
        <v>10</v>
      </c>
      <c r="J23" s="178">
        <v>6</v>
      </c>
      <c r="K23" s="243">
        <f>A23/(2^20/10^3)</f>
        <v>9.5367431640625E-4</v>
      </c>
      <c r="L23" s="7" t="s">
        <v>9</v>
      </c>
      <c r="M23" s="90" t="s">
        <v>25</v>
      </c>
      <c r="N23" s="142">
        <v>2</v>
      </c>
      <c r="O23" s="186">
        <v>20</v>
      </c>
      <c r="P23" s="243">
        <f>A23/(10^3/2^3)</f>
        <v>8.0000000000000002E-3</v>
      </c>
      <c r="Q23" s="8" t="s">
        <v>7</v>
      </c>
      <c r="R23" s="192" t="s">
        <v>30</v>
      </c>
      <c r="S23" s="142">
        <v>10</v>
      </c>
      <c r="T23" s="186">
        <v>6</v>
      </c>
      <c r="U23" s="243">
        <f>A23*(10^3/2^20*2^3)</f>
        <v>7.62939453125E-3</v>
      </c>
      <c r="V23" s="7" t="s">
        <v>42</v>
      </c>
      <c r="W23" s="90" t="s">
        <v>34</v>
      </c>
      <c r="X23" s="142">
        <v>2</v>
      </c>
      <c r="Y23" s="186">
        <v>20</v>
      </c>
    </row>
    <row r="24" spans="1:25" ht="24.95" customHeight="1" x14ac:dyDescent="0.3">
      <c r="A24" s="40">
        <v>1</v>
      </c>
      <c r="B24" s="41" t="s">
        <v>8</v>
      </c>
      <c r="C24" s="66" t="s">
        <v>19</v>
      </c>
      <c r="D24" s="76">
        <v>10</v>
      </c>
      <c r="E24" s="85">
        <v>6</v>
      </c>
      <c r="F24" s="243">
        <f>A24*10^0</f>
        <v>1</v>
      </c>
      <c r="G24" s="56" t="s">
        <v>8</v>
      </c>
      <c r="H24" s="57" t="s">
        <v>19</v>
      </c>
      <c r="I24" s="159">
        <v>10</v>
      </c>
      <c r="J24" s="178">
        <v>6</v>
      </c>
      <c r="K24" s="243">
        <f>A24/(2^20/10^6)</f>
        <v>0.95367431640625</v>
      </c>
      <c r="L24" s="7" t="s">
        <v>9</v>
      </c>
      <c r="M24" s="90" t="s">
        <v>25</v>
      </c>
      <c r="N24" s="142">
        <v>2</v>
      </c>
      <c r="O24" s="186">
        <v>20</v>
      </c>
      <c r="P24" s="243">
        <f>A24*2^3</f>
        <v>8</v>
      </c>
      <c r="Q24" s="8" t="s">
        <v>7</v>
      </c>
      <c r="R24" s="192" t="s">
        <v>30</v>
      </c>
      <c r="S24" s="142">
        <v>10</v>
      </c>
      <c r="T24" s="186">
        <v>6</v>
      </c>
      <c r="U24" s="243">
        <f>A24*(10^6/2^20*2^3)</f>
        <v>7.62939453125</v>
      </c>
      <c r="V24" s="7" t="s">
        <v>42</v>
      </c>
      <c r="W24" s="90" t="s">
        <v>34</v>
      </c>
      <c r="X24" s="142">
        <v>2</v>
      </c>
      <c r="Y24" s="186">
        <v>20</v>
      </c>
    </row>
    <row r="25" spans="1:25" ht="24.95" customHeight="1" x14ac:dyDescent="0.3">
      <c r="A25" s="40">
        <v>1</v>
      </c>
      <c r="B25" s="41" t="s">
        <v>11</v>
      </c>
      <c r="C25" s="66" t="s">
        <v>20</v>
      </c>
      <c r="D25" s="76">
        <v>10</v>
      </c>
      <c r="E25" s="85">
        <v>9</v>
      </c>
      <c r="F25" s="243">
        <f>A25*10^3</f>
        <v>1000</v>
      </c>
      <c r="G25" s="56" t="s">
        <v>8</v>
      </c>
      <c r="H25" s="57" t="s">
        <v>19</v>
      </c>
      <c r="I25" s="159">
        <v>10</v>
      </c>
      <c r="J25" s="178">
        <v>6</v>
      </c>
      <c r="K25" s="243">
        <f>A25/(2^20/10^9)</f>
        <v>953.67431640624989</v>
      </c>
      <c r="L25" s="7" t="s">
        <v>9</v>
      </c>
      <c r="M25" s="90" t="s">
        <v>25</v>
      </c>
      <c r="N25" s="142">
        <v>2</v>
      </c>
      <c r="O25" s="186">
        <v>20</v>
      </c>
      <c r="P25" s="243">
        <f>A25*2^3*10^3</f>
        <v>8000</v>
      </c>
      <c r="Q25" s="8" t="s">
        <v>7</v>
      </c>
      <c r="R25" s="192" t="s">
        <v>30</v>
      </c>
      <c r="S25" s="142">
        <v>10</v>
      </c>
      <c r="T25" s="186">
        <v>6</v>
      </c>
      <c r="U25" s="307">
        <f>A25*(10^9/2^20*2^3)</f>
        <v>7629.39453125</v>
      </c>
      <c r="V25" s="7" t="s">
        <v>42</v>
      </c>
      <c r="W25" s="90" t="s">
        <v>34</v>
      </c>
      <c r="X25" s="142">
        <v>2</v>
      </c>
      <c r="Y25" s="186">
        <v>20</v>
      </c>
    </row>
    <row r="26" spans="1:25" ht="24.95" customHeight="1" thickBot="1" x14ac:dyDescent="0.35">
      <c r="A26" s="2">
        <v>1</v>
      </c>
      <c r="B26" s="28" t="s">
        <v>13</v>
      </c>
      <c r="C26" s="65" t="s">
        <v>22</v>
      </c>
      <c r="D26" s="75">
        <v>10</v>
      </c>
      <c r="E26" s="84">
        <v>12</v>
      </c>
      <c r="F26" s="246">
        <f>A26*10^6</f>
        <v>1000000</v>
      </c>
      <c r="G26" s="58" t="s">
        <v>8</v>
      </c>
      <c r="H26" s="59" t="s">
        <v>19</v>
      </c>
      <c r="I26" s="160">
        <v>10</v>
      </c>
      <c r="J26" s="179">
        <v>6</v>
      </c>
      <c r="K26" s="243">
        <f>A26/(2^20/10^12)</f>
        <v>953674.31640625</v>
      </c>
      <c r="L26" s="11" t="s">
        <v>9</v>
      </c>
      <c r="M26" s="91" t="s">
        <v>25</v>
      </c>
      <c r="N26" s="143">
        <v>2</v>
      </c>
      <c r="O26" s="187">
        <v>20</v>
      </c>
      <c r="P26" s="246">
        <f>A26*2^3*10^6</f>
        <v>8000000</v>
      </c>
      <c r="Q26" s="12" t="s">
        <v>7</v>
      </c>
      <c r="R26" s="193" t="s">
        <v>30</v>
      </c>
      <c r="S26" s="143">
        <v>10</v>
      </c>
      <c r="T26" s="187">
        <v>6</v>
      </c>
      <c r="U26" s="308">
        <f>A26*(10^12/2^20*2^3)</f>
        <v>7629394.53125</v>
      </c>
      <c r="V26" s="9" t="s">
        <v>42</v>
      </c>
      <c r="W26" s="91" t="s">
        <v>34</v>
      </c>
      <c r="X26" s="143">
        <v>2</v>
      </c>
      <c r="Y26" s="187">
        <v>20</v>
      </c>
    </row>
    <row r="27" spans="1:25" ht="24.95" customHeight="1" x14ac:dyDescent="0.3">
      <c r="A27" s="38">
        <v>1</v>
      </c>
      <c r="B27" s="39" t="s">
        <v>1</v>
      </c>
      <c r="C27" s="70" t="s">
        <v>0</v>
      </c>
      <c r="D27" s="77">
        <v>2</v>
      </c>
      <c r="E27" s="86">
        <v>0</v>
      </c>
      <c r="F27" s="247">
        <f>A27/2^3/10^9</f>
        <v>1.2500000000000001E-10</v>
      </c>
      <c r="G27" s="61" t="s">
        <v>11</v>
      </c>
      <c r="H27" s="62" t="s">
        <v>20</v>
      </c>
      <c r="I27" s="162">
        <v>10</v>
      </c>
      <c r="J27" s="181">
        <v>9</v>
      </c>
      <c r="K27" s="269">
        <f>A27/(2^3*2^30)</f>
        <v>1.1641532182693481E-10</v>
      </c>
      <c r="L27" s="13" t="s">
        <v>12</v>
      </c>
      <c r="M27" s="93" t="s">
        <v>27</v>
      </c>
      <c r="N27" s="145">
        <v>2</v>
      </c>
      <c r="O27" s="189">
        <v>30</v>
      </c>
      <c r="P27" s="242">
        <f>A27/10^9</f>
        <v>1.0000000000000001E-9</v>
      </c>
      <c r="Q27" s="14" t="s">
        <v>10</v>
      </c>
      <c r="R27" s="194" t="s">
        <v>31</v>
      </c>
      <c r="S27" s="145">
        <v>10</v>
      </c>
      <c r="T27" s="189">
        <v>9</v>
      </c>
      <c r="U27" s="309">
        <f>A27/2^30</f>
        <v>9.3132257461547852E-10</v>
      </c>
      <c r="V27" s="6" t="s">
        <v>43</v>
      </c>
      <c r="W27" s="194" t="s">
        <v>35</v>
      </c>
      <c r="X27" s="145">
        <v>2</v>
      </c>
      <c r="Y27" s="189">
        <v>30</v>
      </c>
    </row>
    <row r="28" spans="1:25" ht="24.95" customHeight="1" x14ac:dyDescent="0.3">
      <c r="A28" s="40">
        <v>1</v>
      </c>
      <c r="B28" s="41" t="s">
        <v>2</v>
      </c>
      <c r="C28" s="66" t="s">
        <v>17</v>
      </c>
      <c r="D28" s="76">
        <v>2</v>
      </c>
      <c r="E28" s="85">
        <v>3</v>
      </c>
      <c r="F28" s="243">
        <f>A28/10^9</f>
        <v>1.0000000000000001E-9</v>
      </c>
      <c r="G28" s="56" t="s">
        <v>11</v>
      </c>
      <c r="H28" s="57" t="s">
        <v>20</v>
      </c>
      <c r="I28" s="159">
        <v>10</v>
      </c>
      <c r="J28" s="178">
        <v>9</v>
      </c>
      <c r="K28" s="271">
        <f>A28/2^30</f>
        <v>9.3132257461547852E-10</v>
      </c>
      <c r="L28" s="7" t="s">
        <v>12</v>
      </c>
      <c r="M28" s="90" t="s">
        <v>27</v>
      </c>
      <c r="N28" s="142">
        <v>2</v>
      </c>
      <c r="O28" s="186">
        <v>30</v>
      </c>
      <c r="P28" s="243">
        <f>A28/(10^9/2^3)</f>
        <v>8.0000000000000005E-9</v>
      </c>
      <c r="Q28" s="8" t="s">
        <v>10</v>
      </c>
      <c r="R28" s="192" t="s">
        <v>31</v>
      </c>
      <c r="S28" s="142">
        <v>10</v>
      </c>
      <c r="T28" s="186">
        <v>9</v>
      </c>
      <c r="U28" s="310">
        <f>A28/(2^30/2^3)</f>
        <v>7.4505805969238281E-9</v>
      </c>
      <c r="V28" s="14" t="s">
        <v>43</v>
      </c>
      <c r="W28" s="194" t="s">
        <v>35</v>
      </c>
      <c r="X28" s="142">
        <v>2</v>
      </c>
      <c r="Y28" s="186">
        <v>30</v>
      </c>
    </row>
    <row r="29" spans="1:25" ht="24.95" customHeight="1" x14ac:dyDescent="0.3">
      <c r="A29" s="40">
        <v>1</v>
      </c>
      <c r="B29" s="41" t="s">
        <v>5</v>
      </c>
      <c r="C29" s="66" t="s">
        <v>18</v>
      </c>
      <c r="D29" s="75">
        <v>10</v>
      </c>
      <c r="E29" s="84">
        <v>3</v>
      </c>
      <c r="F29" s="243">
        <f>A29/10^6</f>
        <v>9.9999999999999995E-7</v>
      </c>
      <c r="G29" s="56" t="s">
        <v>11</v>
      </c>
      <c r="H29" s="57" t="s">
        <v>20</v>
      </c>
      <c r="I29" s="159">
        <v>10</v>
      </c>
      <c r="J29" s="178">
        <v>9</v>
      </c>
      <c r="K29" s="272">
        <f>A29/(2^30/10^3)</f>
        <v>9.3132257461547852E-7</v>
      </c>
      <c r="L29" s="7" t="s">
        <v>12</v>
      </c>
      <c r="M29" s="90" t="s">
        <v>27</v>
      </c>
      <c r="N29" s="142">
        <v>2</v>
      </c>
      <c r="O29" s="186">
        <v>30</v>
      </c>
      <c r="P29" s="243">
        <f>A29/(10^6/2^3)</f>
        <v>7.9999999999999996E-6</v>
      </c>
      <c r="Q29" s="8" t="s">
        <v>10</v>
      </c>
      <c r="R29" s="192" t="s">
        <v>31</v>
      </c>
      <c r="S29" s="142">
        <v>10</v>
      </c>
      <c r="T29" s="186">
        <v>9</v>
      </c>
      <c r="U29" s="270">
        <f>A29*(10^3/2^30*2^3)</f>
        <v>7.4505805969238281E-6</v>
      </c>
      <c r="V29" s="14" t="s">
        <v>43</v>
      </c>
      <c r="W29" s="194" t="s">
        <v>35</v>
      </c>
      <c r="X29" s="142">
        <v>2</v>
      </c>
      <c r="Y29" s="186">
        <v>30</v>
      </c>
    </row>
    <row r="30" spans="1:25" ht="24.95" customHeight="1" x14ac:dyDescent="0.3">
      <c r="A30" s="40">
        <v>1</v>
      </c>
      <c r="B30" s="41" t="s">
        <v>8</v>
      </c>
      <c r="C30" s="66" t="s">
        <v>19</v>
      </c>
      <c r="D30" s="76">
        <v>10</v>
      </c>
      <c r="E30" s="85">
        <v>6</v>
      </c>
      <c r="F30" s="243">
        <f>A30/10^3</f>
        <v>1E-3</v>
      </c>
      <c r="G30" s="56" t="s">
        <v>11</v>
      </c>
      <c r="H30" s="57" t="s">
        <v>20</v>
      </c>
      <c r="I30" s="159">
        <v>10</v>
      </c>
      <c r="J30" s="178">
        <v>9</v>
      </c>
      <c r="K30" s="243">
        <f>A30/(2^30/10^6)</f>
        <v>9.3132257461547852E-4</v>
      </c>
      <c r="L30" s="7" t="s">
        <v>12</v>
      </c>
      <c r="M30" s="90" t="s">
        <v>27</v>
      </c>
      <c r="N30" s="142">
        <v>2</v>
      </c>
      <c r="O30" s="186">
        <v>30</v>
      </c>
      <c r="P30" s="243">
        <f>A30/(10^3/2^3)</f>
        <v>8.0000000000000002E-3</v>
      </c>
      <c r="Q30" s="8" t="s">
        <v>10</v>
      </c>
      <c r="R30" s="192" t="s">
        <v>31</v>
      </c>
      <c r="S30" s="142">
        <v>10</v>
      </c>
      <c r="T30" s="186">
        <v>9</v>
      </c>
      <c r="U30" s="306">
        <f>A30*(10^6/2^30*2^3)</f>
        <v>7.4505805969238281E-3</v>
      </c>
      <c r="V30" s="14" t="s">
        <v>43</v>
      </c>
      <c r="W30" s="194" t="s">
        <v>35</v>
      </c>
      <c r="X30" s="142">
        <v>2</v>
      </c>
      <c r="Y30" s="186">
        <v>30</v>
      </c>
    </row>
    <row r="31" spans="1:25" ht="24.95" customHeight="1" x14ac:dyDescent="0.3">
      <c r="A31" s="40">
        <v>1</v>
      </c>
      <c r="B31" s="41" t="s">
        <v>11</v>
      </c>
      <c r="C31" s="66" t="s">
        <v>20</v>
      </c>
      <c r="D31" s="76">
        <v>10</v>
      </c>
      <c r="E31" s="85">
        <v>9</v>
      </c>
      <c r="F31" s="243">
        <f>A31*10^0</f>
        <v>1</v>
      </c>
      <c r="G31" s="56" t="s">
        <v>11</v>
      </c>
      <c r="H31" s="57" t="s">
        <v>20</v>
      </c>
      <c r="I31" s="159">
        <v>10</v>
      </c>
      <c r="J31" s="178">
        <v>9</v>
      </c>
      <c r="K31" s="243">
        <f>A31/(2^30/10^9)</f>
        <v>0.9313225746154784</v>
      </c>
      <c r="L31" s="7" t="s">
        <v>12</v>
      </c>
      <c r="M31" s="90" t="s">
        <v>27</v>
      </c>
      <c r="N31" s="142">
        <v>2</v>
      </c>
      <c r="O31" s="186">
        <v>30</v>
      </c>
      <c r="P31" s="243">
        <f>A31*2^3</f>
        <v>8</v>
      </c>
      <c r="Q31" s="8" t="s">
        <v>10</v>
      </c>
      <c r="R31" s="192" t="s">
        <v>31</v>
      </c>
      <c r="S31" s="142">
        <v>10</v>
      </c>
      <c r="T31" s="186">
        <v>9</v>
      </c>
      <c r="U31" s="311">
        <f>A31*(10^9/2^30*2^3)</f>
        <v>7.4505805969238281</v>
      </c>
      <c r="V31" s="14" t="s">
        <v>43</v>
      </c>
      <c r="W31" s="194" t="s">
        <v>35</v>
      </c>
      <c r="X31" s="142">
        <v>2</v>
      </c>
      <c r="Y31" s="186">
        <v>30</v>
      </c>
    </row>
    <row r="32" spans="1:25" ht="24.95" customHeight="1" thickBot="1" x14ac:dyDescent="0.35">
      <c r="A32" s="42">
        <v>1</v>
      </c>
      <c r="B32" s="43" t="s">
        <v>13</v>
      </c>
      <c r="C32" s="69" t="s">
        <v>22</v>
      </c>
      <c r="D32" s="75">
        <v>10</v>
      </c>
      <c r="E32" s="84">
        <v>12</v>
      </c>
      <c r="F32" s="246">
        <f>A32*10^3</f>
        <v>1000</v>
      </c>
      <c r="G32" s="58" t="s">
        <v>11</v>
      </c>
      <c r="H32" s="59" t="s">
        <v>20</v>
      </c>
      <c r="I32" s="160">
        <v>10</v>
      </c>
      <c r="J32" s="179">
        <v>9</v>
      </c>
      <c r="K32" s="246">
        <f>A32/(2^30/10^12)</f>
        <v>931.32257461547852</v>
      </c>
      <c r="L32" s="11" t="s">
        <v>12</v>
      </c>
      <c r="M32" s="91" t="s">
        <v>27</v>
      </c>
      <c r="N32" s="143">
        <v>2</v>
      </c>
      <c r="O32" s="187">
        <v>30</v>
      </c>
      <c r="P32" s="246">
        <f>A32*2^3*10^6</f>
        <v>8000000</v>
      </c>
      <c r="Q32" s="12" t="s">
        <v>10</v>
      </c>
      <c r="R32" s="193" t="s">
        <v>31</v>
      </c>
      <c r="S32" s="143">
        <v>10</v>
      </c>
      <c r="T32" s="187">
        <v>9</v>
      </c>
      <c r="U32" s="312">
        <f>A32*(10^12/2^30*2^3)</f>
        <v>7450.5805969238281</v>
      </c>
      <c r="V32" s="14" t="s">
        <v>43</v>
      </c>
      <c r="W32" s="194" t="s">
        <v>35</v>
      </c>
      <c r="X32" s="143">
        <v>2</v>
      </c>
      <c r="Y32" s="187">
        <v>30</v>
      </c>
    </row>
    <row r="33" spans="1:25" ht="24.95" customHeight="1" x14ac:dyDescent="0.3">
      <c r="A33" s="38">
        <v>1</v>
      </c>
      <c r="B33" s="39" t="s">
        <v>1</v>
      </c>
      <c r="C33" s="70" t="s">
        <v>0</v>
      </c>
      <c r="D33" s="77">
        <v>2</v>
      </c>
      <c r="E33" s="86">
        <v>0</v>
      </c>
      <c r="F33" s="248">
        <f>A33/2^3/10^12</f>
        <v>1.25E-13</v>
      </c>
      <c r="G33" s="55" t="s">
        <v>13</v>
      </c>
      <c r="H33" s="60" t="s">
        <v>22</v>
      </c>
      <c r="I33" s="161">
        <v>10</v>
      </c>
      <c r="J33" s="180">
        <v>12</v>
      </c>
      <c r="K33" s="273">
        <f>A33/(2^3*2^40)</f>
        <v>1.1368683772161603E-13</v>
      </c>
      <c r="L33" s="5" t="s">
        <v>14</v>
      </c>
      <c r="M33" s="92" t="s">
        <v>28</v>
      </c>
      <c r="N33" s="144">
        <v>2</v>
      </c>
      <c r="O33" s="188">
        <v>40</v>
      </c>
      <c r="P33" s="290">
        <f>A33/10^12</f>
        <v>9.9999999999999998E-13</v>
      </c>
      <c r="Q33" s="6" t="s">
        <v>24</v>
      </c>
      <c r="R33" s="191" t="s">
        <v>32</v>
      </c>
      <c r="S33" s="144">
        <v>10</v>
      </c>
      <c r="T33" s="188">
        <v>12</v>
      </c>
      <c r="U33" s="273">
        <f>A33/2^40</f>
        <v>9.0949470177292824E-13</v>
      </c>
      <c r="V33" s="233" t="s">
        <v>44</v>
      </c>
      <c r="W33" s="234" t="s">
        <v>36</v>
      </c>
      <c r="X33" s="144">
        <v>2</v>
      </c>
      <c r="Y33" s="188">
        <v>40</v>
      </c>
    </row>
    <row r="34" spans="1:25" ht="24.95" customHeight="1" x14ac:dyDescent="0.3">
      <c r="A34" s="40">
        <v>1</v>
      </c>
      <c r="B34" s="41" t="s">
        <v>2</v>
      </c>
      <c r="C34" s="66" t="s">
        <v>17</v>
      </c>
      <c r="D34" s="76">
        <v>2</v>
      </c>
      <c r="E34" s="85">
        <v>3</v>
      </c>
      <c r="F34" s="249">
        <f>A34/10^12</f>
        <v>9.9999999999999998E-13</v>
      </c>
      <c r="G34" s="56" t="s">
        <v>13</v>
      </c>
      <c r="H34" s="57" t="s">
        <v>22</v>
      </c>
      <c r="I34" s="159">
        <v>10</v>
      </c>
      <c r="J34" s="178">
        <v>12</v>
      </c>
      <c r="K34" s="274">
        <f>A34/2^40</f>
        <v>9.0949470177292824E-13</v>
      </c>
      <c r="L34" s="7" t="s">
        <v>14</v>
      </c>
      <c r="M34" s="90" t="s">
        <v>28</v>
      </c>
      <c r="N34" s="142">
        <v>2</v>
      </c>
      <c r="O34" s="186">
        <v>40</v>
      </c>
      <c r="P34" s="249">
        <f>A34/(10^12/2^3)</f>
        <v>7.9999999999999998E-12</v>
      </c>
      <c r="Q34" s="8" t="s">
        <v>24</v>
      </c>
      <c r="R34" s="192" t="s">
        <v>32</v>
      </c>
      <c r="S34" s="142">
        <v>10</v>
      </c>
      <c r="T34" s="186">
        <v>12</v>
      </c>
      <c r="U34" s="313">
        <f>A34/(2^40/2^3)</f>
        <v>7.2759576141834259E-12</v>
      </c>
      <c r="V34" s="8" t="s">
        <v>44</v>
      </c>
      <c r="W34" s="192" t="s">
        <v>36</v>
      </c>
      <c r="X34" s="142">
        <v>2</v>
      </c>
      <c r="Y34" s="186">
        <v>40</v>
      </c>
    </row>
    <row r="35" spans="1:25" ht="24.95" customHeight="1" x14ac:dyDescent="0.3">
      <c r="A35" s="40">
        <v>1</v>
      </c>
      <c r="B35" s="41" t="s">
        <v>5</v>
      </c>
      <c r="C35" s="66" t="s">
        <v>18</v>
      </c>
      <c r="D35" s="75">
        <v>10</v>
      </c>
      <c r="E35" s="84">
        <v>3</v>
      </c>
      <c r="F35" s="243">
        <f>A35/10^9</f>
        <v>1.0000000000000001E-9</v>
      </c>
      <c r="G35" s="56" t="s">
        <v>13</v>
      </c>
      <c r="H35" s="57" t="s">
        <v>22</v>
      </c>
      <c r="I35" s="159">
        <v>10</v>
      </c>
      <c r="J35" s="178">
        <v>12</v>
      </c>
      <c r="K35" s="271">
        <f>A35/(2^40/10^3)</f>
        <v>9.0949470177292824E-10</v>
      </c>
      <c r="L35" s="7" t="s">
        <v>14</v>
      </c>
      <c r="M35" s="90" t="s">
        <v>28</v>
      </c>
      <c r="N35" s="142">
        <v>2</v>
      </c>
      <c r="O35" s="186">
        <v>40</v>
      </c>
      <c r="P35" s="243">
        <f>A35/(10^9/2^3)</f>
        <v>8.0000000000000005E-9</v>
      </c>
      <c r="Q35" s="8" t="s">
        <v>24</v>
      </c>
      <c r="R35" s="192" t="s">
        <v>32</v>
      </c>
      <c r="S35" s="142">
        <v>10</v>
      </c>
      <c r="T35" s="186">
        <v>12</v>
      </c>
      <c r="U35" s="310">
        <f>A35*(10^3/2^40*2^3)</f>
        <v>7.2759576141834259E-9</v>
      </c>
      <c r="V35" s="8" t="s">
        <v>44</v>
      </c>
      <c r="W35" s="192" t="s">
        <v>36</v>
      </c>
      <c r="X35" s="142">
        <v>2</v>
      </c>
      <c r="Y35" s="186">
        <v>40</v>
      </c>
    </row>
    <row r="36" spans="1:25" ht="24.95" customHeight="1" x14ac:dyDescent="0.3">
      <c r="A36" s="40">
        <v>1</v>
      </c>
      <c r="B36" s="41" t="s">
        <v>8</v>
      </c>
      <c r="C36" s="66" t="s">
        <v>19</v>
      </c>
      <c r="D36" s="76">
        <v>10</v>
      </c>
      <c r="E36" s="85">
        <v>6</v>
      </c>
      <c r="F36" s="243">
        <f>A36/10^6</f>
        <v>9.9999999999999995E-7</v>
      </c>
      <c r="G36" s="56" t="s">
        <v>13</v>
      </c>
      <c r="H36" s="57" t="s">
        <v>22</v>
      </c>
      <c r="I36" s="159">
        <v>10</v>
      </c>
      <c r="J36" s="178">
        <v>12</v>
      </c>
      <c r="K36" s="272">
        <f>A36/(2^40/10^6)</f>
        <v>9.0949470177292824E-7</v>
      </c>
      <c r="L36" s="7" t="s">
        <v>14</v>
      </c>
      <c r="M36" s="90" t="s">
        <v>28</v>
      </c>
      <c r="N36" s="142">
        <v>2</v>
      </c>
      <c r="O36" s="186">
        <v>40</v>
      </c>
      <c r="P36" s="243">
        <f>A36/(10^6/2^3)</f>
        <v>7.9999999999999996E-6</v>
      </c>
      <c r="Q36" s="8" t="s">
        <v>24</v>
      </c>
      <c r="R36" s="192" t="s">
        <v>32</v>
      </c>
      <c r="S36" s="142">
        <v>10</v>
      </c>
      <c r="T36" s="186">
        <v>12</v>
      </c>
      <c r="U36" s="270">
        <f>A36*(10^6/2^40*2^3)</f>
        <v>7.2759576141834259E-6</v>
      </c>
      <c r="V36" s="8" t="s">
        <v>44</v>
      </c>
      <c r="W36" s="192" t="s">
        <v>36</v>
      </c>
      <c r="X36" s="142">
        <v>2</v>
      </c>
      <c r="Y36" s="186">
        <v>40</v>
      </c>
    </row>
    <row r="37" spans="1:25" ht="24.95" customHeight="1" x14ac:dyDescent="0.3">
      <c r="A37" s="40">
        <v>1</v>
      </c>
      <c r="B37" s="41" t="s">
        <v>11</v>
      </c>
      <c r="C37" s="66" t="s">
        <v>20</v>
      </c>
      <c r="D37" s="76">
        <v>10</v>
      </c>
      <c r="E37" s="85">
        <v>9</v>
      </c>
      <c r="F37" s="243">
        <f>A37/10^3</f>
        <v>1E-3</v>
      </c>
      <c r="G37" s="56" t="s">
        <v>13</v>
      </c>
      <c r="H37" s="57" t="s">
        <v>22</v>
      </c>
      <c r="I37" s="159">
        <v>10</v>
      </c>
      <c r="J37" s="178">
        <v>12</v>
      </c>
      <c r="K37" s="275">
        <f>A37/(2^40/10^9)</f>
        <v>9.0949470177292813E-4</v>
      </c>
      <c r="L37" s="7" t="s">
        <v>14</v>
      </c>
      <c r="M37" s="90" t="s">
        <v>28</v>
      </c>
      <c r="N37" s="142">
        <v>2</v>
      </c>
      <c r="O37" s="186">
        <v>40</v>
      </c>
      <c r="P37" s="243">
        <f>A37/(10^3/2^3)</f>
        <v>8.0000000000000002E-3</v>
      </c>
      <c r="Q37" s="8" t="s">
        <v>24</v>
      </c>
      <c r="R37" s="192" t="s">
        <v>32</v>
      </c>
      <c r="S37" s="142">
        <v>10</v>
      </c>
      <c r="T37" s="186">
        <v>12</v>
      </c>
      <c r="U37" s="306">
        <f>A37*(10^9/2^40*2^3)</f>
        <v>7.2759576141834259E-3</v>
      </c>
      <c r="V37" s="8" t="s">
        <v>44</v>
      </c>
      <c r="W37" s="192" t="s">
        <v>36</v>
      </c>
      <c r="X37" s="142">
        <v>2</v>
      </c>
      <c r="Y37" s="186">
        <v>40</v>
      </c>
    </row>
    <row r="38" spans="1:25" ht="24.95" customHeight="1" thickBot="1" x14ac:dyDescent="0.35">
      <c r="A38" s="42">
        <v>1</v>
      </c>
      <c r="B38" s="43" t="s">
        <v>13</v>
      </c>
      <c r="C38" s="69" t="s">
        <v>22</v>
      </c>
      <c r="D38" s="79">
        <v>10</v>
      </c>
      <c r="E38" s="88">
        <v>12</v>
      </c>
      <c r="F38" s="246">
        <f>A38*10^0</f>
        <v>1</v>
      </c>
      <c r="G38" s="58" t="s">
        <v>13</v>
      </c>
      <c r="H38" s="59" t="s">
        <v>22</v>
      </c>
      <c r="I38" s="160">
        <v>10</v>
      </c>
      <c r="J38" s="179">
        <v>12</v>
      </c>
      <c r="K38" s="243">
        <f>A38/(2^40/10^12)</f>
        <v>0.90949470177292824</v>
      </c>
      <c r="L38" s="11" t="s">
        <v>14</v>
      </c>
      <c r="M38" s="91" t="s">
        <v>28</v>
      </c>
      <c r="N38" s="143">
        <v>2</v>
      </c>
      <c r="O38" s="187">
        <v>40</v>
      </c>
      <c r="P38" s="246">
        <f>A38*2^3</f>
        <v>8</v>
      </c>
      <c r="Q38" s="12" t="s">
        <v>24</v>
      </c>
      <c r="R38" s="193" t="s">
        <v>32</v>
      </c>
      <c r="S38" s="143">
        <v>10</v>
      </c>
      <c r="T38" s="187">
        <v>12</v>
      </c>
      <c r="U38" s="311">
        <f>A38*(10^12/2^40*2^3)</f>
        <v>7.2759576141834259</v>
      </c>
      <c r="V38" s="14" t="s">
        <v>44</v>
      </c>
      <c r="W38" s="235" t="s">
        <v>36</v>
      </c>
      <c r="X38" s="143">
        <v>2</v>
      </c>
      <c r="Y38" s="187">
        <v>40</v>
      </c>
    </row>
    <row r="39" spans="1:25" ht="24.95" customHeight="1" thickBot="1" x14ac:dyDescent="0.35">
      <c r="A39" s="44"/>
      <c r="B39" s="45"/>
      <c r="C39" s="45"/>
      <c r="D39" s="81"/>
      <c r="E39" s="72"/>
      <c r="F39" s="81"/>
      <c r="G39" s="45"/>
      <c r="H39" s="45"/>
      <c r="I39" s="81"/>
      <c r="J39" s="71"/>
      <c r="K39" s="81"/>
      <c r="L39" s="45"/>
      <c r="M39" s="45"/>
      <c r="N39" s="81"/>
      <c r="O39" s="71"/>
      <c r="P39" s="81"/>
      <c r="Q39" s="45"/>
      <c r="R39" s="45"/>
      <c r="S39" s="81"/>
      <c r="T39" s="71"/>
      <c r="U39" s="314"/>
      <c r="V39" s="45"/>
      <c r="W39" s="45"/>
      <c r="X39" s="81"/>
      <c r="Y39" s="224"/>
    </row>
    <row r="40" spans="1:25" ht="24.95" customHeight="1" x14ac:dyDescent="0.3">
      <c r="A40" s="40">
        <v>1</v>
      </c>
      <c r="B40" s="41" t="s">
        <v>6</v>
      </c>
      <c r="C40" s="66" t="s">
        <v>26</v>
      </c>
      <c r="D40" s="76">
        <v>2</v>
      </c>
      <c r="E40" s="85">
        <v>10</v>
      </c>
      <c r="F40" s="250"/>
      <c r="G40" s="49"/>
      <c r="H40" s="50"/>
      <c r="I40" s="166"/>
      <c r="J40" s="196"/>
      <c r="K40" s="250">
        <f>A40*2^3*2^10</f>
        <v>8192</v>
      </c>
      <c r="L40" s="17" t="s">
        <v>1</v>
      </c>
      <c r="M40" s="96" t="s">
        <v>0</v>
      </c>
      <c r="N40" s="149"/>
      <c r="O40" s="200"/>
      <c r="P40" s="250"/>
      <c r="Q40" s="18"/>
      <c r="R40" s="204"/>
      <c r="S40" s="149"/>
      <c r="T40" s="200"/>
      <c r="U40" s="250"/>
      <c r="V40" s="18"/>
      <c r="W40" s="204"/>
      <c r="X40" s="147"/>
      <c r="Y40" s="201"/>
    </row>
    <row r="41" spans="1:25" ht="24.95" customHeight="1" x14ac:dyDescent="0.3">
      <c r="A41" s="40">
        <v>1</v>
      </c>
      <c r="B41" s="41" t="s">
        <v>9</v>
      </c>
      <c r="C41" s="66" t="s">
        <v>25</v>
      </c>
      <c r="D41" s="76">
        <v>2</v>
      </c>
      <c r="E41" s="85">
        <v>20</v>
      </c>
      <c r="F41" s="250"/>
      <c r="G41" s="49"/>
      <c r="H41" s="50"/>
      <c r="I41" s="164"/>
      <c r="J41" s="197"/>
      <c r="K41" s="250">
        <f>A41*2^3*2^20</f>
        <v>8388608</v>
      </c>
      <c r="L41" s="17" t="s">
        <v>1</v>
      </c>
      <c r="M41" s="96" t="s">
        <v>0</v>
      </c>
      <c r="N41" s="147"/>
      <c r="O41" s="201"/>
      <c r="P41" s="250"/>
      <c r="Q41" s="18"/>
      <c r="R41" s="204"/>
      <c r="S41" s="147"/>
      <c r="T41" s="201"/>
      <c r="U41" s="250"/>
      <c r="V41" s="18"/>
      <c r="W41" s="204"/>
      <c r="X41" s="147"/>
      <c r="Y41" s="201"/>
    </row>
    <row r="42" spans="1:25" ht="24.95" customHeight="1" x14ac:dyDescent="0.3">
      <c r="A42" s="40">
        <v>1</v>
      </c>
      <c r="B42" s="41" t="s">
        <v>12</v>
      </c>
      <c r="C42" s="66" t="s">
        <v>27</v>
      </c>
      <c r="D42" s="76">
        <v>2</v>
      </c>
      <c r="E42" s="85">
        <v>30</v>
      </c>
      <c r="F42" s="250"/>
      <c r="G42" s="49"/>
      <c r="H42" s="50"/>
      <c r="I42" s="164"/>
      <c r="J42" s="197"/>
      <c r="K42" s="250">
        <f>A42*2^3*2^30</f>
        <v>8589934592</v>
      </c>
      <c r="L42" s="17" t="s">
        <v>1</v>
      </c>
      <c r="M42" s="96" t="s">
        <v>0</v>
      </c>
      <c r="N42" s="147"/>
      <c r="O42" s="201"/>
      <c r="P42" s="250"/>
      <c r="Q42" s="18"/>
      <c r="R42" s="204"/>
      <c r="S42" s="147"/>
      <c r="T42" s="201"/>
      <c r="U42" s="250"/>
      <c r="V42" s="18"/>
      <c r="W42" s="204"/>
      <c r="X42" s="147"/>
      <c r="Y42" s="201"/>
    </row>
    <row r="43" spans="1:25" ht="24.95" customHeight="1" thickBot="1" x14ac:dyDescent="0.35">
      <c r="A43" s="2">
        <v>1</v>
      </c>
      <c r="B43" s="28" t="s">
        <v>14</v>
      </c>
      <c r="C43" s="65" t="s">
        <v>28</v>
      </c>
      <c r="D43" s="75">
        <v>2</v>
      </c>
      <c r="E43" s="84">
        <v>40</v>
      </c>
      <c r="F43" s="251"/>
      <c r="G43" s="51"/>
      <c r="H43" s="52"/>
      <c r="I43" s="165"/>
      <c r="J43" s="198"/>
      <c r="K43" s="276">
        <f>A43*2^3*2^40</f>
        <v>8796093022208</v>
      </c>
      <c r="L43" s="19" t="s">
        <v>1</v>
      </c>
      <c r="M43" s="97" t="s">
        <v>0</v>
      </c>
      <c r="N43" s="148"/>
      <c r="O43" s="202"/>
      <c r="P43" s="251"/>
      <c r="Q43" s="20"/>
      <c r="R43" s="205"/>
      <c r="S43" s="148"/>
      <c r="T43" s="202"/>
      <c r="U43" s="251"/>
      <c r="V43" s="20"/>
      <c r="W43" s="205"/>
      <c r="X43" s="148"/>
      <c r="Y43" s="202"/>
    </row>
    <row r="44" spans="1:25" ht="24.95" customHeight="1" x14ac:dyDescent="0.3">
      <c r="A44" s="38">
        <v>1</v>
      </c>
      <c r="B44" s="39" t="s">
        <v>6</v>
      </c>
      <c r="C44" s="70" t="s">
        <v>26</v>
      </c>
      <c r="D44" s="80">
        <v>2</v>
      </c>
      <c r="E44" s="89">
        <v>10</v>
      </c>
      <c r="F44" s="252"/>
      <c r="G44" s="47"/>
      <c r="H44" s="48"/>
      <c r="I44" s="166"/>
      <c r="J44" s="196"/>
      <c r="K44" s="252">
        <f>A44*2^10</f>
        <v>1024</v>
      </c>
      <c r="L44" s="15" t="s">
        <v>2</v>
      </c>
      <c r="M44" s="95" t="s">
        <v>17</v>
      </c>
      <c r="N44" s="149">
        <v>2</v>
      </c>
      <c r="O44" s="200">
        <v>3</v>
      </c>
      <c r="P44" s="252"/>
      <c r="Q44" s="16"/>
      <c r="R44" s="206"/>
      <c r="S44" s="149"/>
      <c r="T44" s="200"/>
      <c r="U44" s="252"/>
      <c r="V44" s="16"/>
      <c r="W44" s="206"/>
      <c r="X44" s="149"/>
      <c r="Y44" s="200"/>
    </row>
    <row r="45" spans="1:25" ht="24.95" customHeight="1" x14ac:dyDescent="0.3">
      <c r="A45" s="40">
        <v>1</v>
      </c>
      <c r="B45" s="41" t="s">
        <v>9</v>
      </c>
      <c r="C45" s="66" t="s">
        <v>25</v>
      </c>
      <c r="D45" s="76">
        <v>2</v>
      </c>
      <c r="E45" s="85">
        <v>20</v>
      </c>
      <c r="F45" s="250"/>
      <c r="G45" s="49"/>
      <c r="H45" s="50"/>
      <c r="I45" s="164"/>
      <c r="J45" s="197"/>
      <c r="K45" s="250">
        <f>A45*2^20</f>
        <v>1048576</v>
      </c>
      <c r="L45" s="17" t="s">
        <v>2</v>
      </c>
      <c r="M45" s="96" t="s">
        <v>17</v>
      </c>
      <c r="N45" s="147">
        <v>2</v>
      </c>
      <c r="O45" s="201">
        <v>3</v>
      </c>
      <c r="P45" s="250"/>
      <c r="Q45" s="18"/>
      <c r="R45" s="204"/>
      <c r="S45" s="147"/>
      <c r="T45" s="201"/>
      <c r="U45" s="250"/>
      <c r="V45" s="18"/>
      <c r="W45" s="204"/>
      <c r="X45" s="147"/>
      <c r="Y45" s="201"/>
    </row>
    <row r="46" spans="1:25" ht="24.95" customHeight="1" x14ac:dyDescent="0.3">
      <c r="A46" s="40">
        <v>1</v>
      </c>
      <c r="B46" s="41" t="s">
        <v>12</v>
      </c>
      <c r="C46" s="66" t="s">
        <v>27</v>
      </c>
      <c r="D46" s="76">
        <v>2</v>
      </c>
      <c r="E46" s="85">
        <v>30</v>
      </c>
      <c r="F46" s="250"/>
      <c r="G46" s="49"/>
      <c r="H46" s="50"/>
      <c r="I46" s="164"/>
      <c r="J46" s="197"/>
      <c r="K46" s="250">
        <f>A46*2^30</f>
        <v>1073741824</v>
      </c>
      <c r="L46" s="17" t="s">
        <v>2</v>
      </c>
      <c r="M46" s="96" t="s">
        <v>17</v>
      </c>
      <c r="N46" s="147">
        <v>2</v>
      </c>
      <c r="O46" s="201">
        <v>3</v>
      </c>
      <c r="P46" s="250"/>
      <c r="Q46" s="18"/>
      <c r="R46" s="204"/>
      <c r="S46" s="147"/>
      <c r="T46" s="201"/>
      <c r="U46" s="250"/>
      <c r="V46" s="18"/>
      <c r="W46" s="204"/>
      <c r="X46" s="147"/>
      <c r="Y46" s="201"/>
    </row>
    <row r="47" spans="1:25" ht="24.95" customHeight="1" thickBot="1" x14ac:dyDescent="0.35">
      <c r="A47" s="4">
        <v>1</v>
      </c>
      <c r="B47" s="29" t="s">
        <v>14</v>
      </c>
      <c r="C47" s="68" t="s">
        <v>28</v>
      </c>
      <c r="D47" s="78">
        <v>2</v>
      </c>
      <c r="E47" s="87">
        <v>40</v>
      </c>
      <c r="F47" s="253"/>
      <c r="G47" s="53"/>
      <c r="H47" s="54"/>
      <c r="I47" s="167"/>
      <c r="J47" s="199"/>
      <c r="K47" s="277">
        <f>A47*2^40</f>
        <v>1099511627776</v>
      </c>
      <c r="L47" s="21" t="s">
        <v>2</v>
      </c>
      <c r="M47" s="98" t="s">
        <v>17</v>
      </c>
      <c r="N47" s="150">
        <v>2</v>
      </c>
      <c r="O47" s="203">
        <v>3</v>
      </c>
      <c r="P47" s="253"/>
      <c r="Q47" s="22"/>
      <c r="R47" s="207"/>
      <c r="S47" s="150"/>
      <c r="T47" s="203"/>
      <c r="U47" s="253"/>
      <c r="V47" s="22"/>
      <c r="W47" s="207"/>
      <c r="X47" s="150"/>
      <c r="Y47" s="203"/>
    </row>
    <row r="48" spans="1:25" ht="24.95" customHeight="1" x14ac:dyDescent="0.3">
      <c r="A48" s="40">
        <v>1</v>
      </c>
      <c r="B48" s="41" t="s">
        <v>6</v>
      </c>
      <c r="C48" s="66" t="s">
        <v>26</v>
      </c>
      <c r="D48" s="76">
        <v>2</v>
      </c>
      <c r="E48" s="85">
        <v>10</v>
      </c>
      <c r="F48" s="250">
        <f>A48*2^0</f>
        <v>1</v>
      </c>
      <c r="G48" s="49" t="s">
        <v>6</v>
      </c>
      <c r="H48" s="50" t="s">
        <v>26</v>
      </c>
      <c r="I48" s="164">
        <v>2</v>
      </c>
      <c r="J48" s="197">
        <v>10</v>
      </c>
      <c r="K48" s="250">
        <f>A48*(2^10/10^3)</f>
        <v>1.024</v>
      </c>
      <c r="L48" s="17" t="s">
        <v>5</v>
      </c>
      <c r="M48" s="96" t="s">
        <v>18</v>
      </c>
      <c r="N48" s="147">
        <v>10</v>
      </c>
      <c r="O48" s="201">
        <v>3</v>
      </c>
      <c r="P48" s="250">
        <f>A48*(2^3*2^10/10^3)</f>
        <v>8.1920000000000002</v>
      </c>
      <c r="Q48" s="18" t="s">
        <v>3</v>
      </c>
      <c r="R48" s="204" t="s">
        <v>29</v>
      </c>
      <c r="S48" s="147">
        <v>10</v>
      </c>
      <c r="T48" s="201">
        <v>3</v>
      </c>
      <c r="U48" s="250">
        <f>A48*2^3</f>
        <v>8</v>
      </c>
      <c r="V48" s="16" t="s">
        <v>41</v>
      </c>
      <c r="W48" s="204" t="s">
        <v>4</v>
      </c>
      <c r="X48" s="147">
        <v>2</v>
      </c>
      <c r="Y48" s="201">
        <v>10</v>
      </c>
    </row>
    <row r="49" spans="1:25" ht="24.95" customHeight="1" x14ac:dyDescent="0.3">
      <c r="A49" s="40">
        <v>1</v>
      </c>
      <c r="B49" s="41" t="s">
        <v>9</v>
      </c>
      <c r="C49" s="66" t="s">
        <v>25</v>
      </c>
      <c r="D49" s="76">
        <v>2</v>
      </c>
      <c r="E49" s="85">
        <v>20</v>
      </c>
      <c r="F49" s="250">
        <f>A49*2^10</f>
        <v>1024</v>
      </c>
      <c r="G49" s="49" t="s">
        <v>6</v>
      </c>
      <c r="H49" s="50" t="s">
        <v>26</v>
      </c>
      <c r="I49" s="164">
        <v>2</v>
      </c>
      <c r="J49" s="197">
        <v>10</v>
      </c>
      <c r="K49" s="250">
        <f>A49*(2^20/10^3)</f>
        <v>1048.576</v>
      </c>
      <c r="L49" s="17" t="s">
        <v>5</v>
      </c>
      <c r="M49" s="96" t="s">
        <v>18</v>
      </c>
      <c r="N49" s="147">
        <v>10</v>
      </c>
      <c r="O49" s="201">
        <v>3</v>
      </c>
      <c r="P49" s="250">
        <f>A49*(2^3*2^20/10^3)</f>
        <v>8388.6080000000002</v>
      </c>
      <c r="Q49" s="18" t="s">
        <v>3</v>
      </c>
      <c r="R49" s="204" t="s">
        <v>29</v>
      </c>
      <c r="S49" s="147">
        <v>10</v>
      </c>
      <c r="T49" s="201">
        <v>3</v>
      </c>
      <c r="U49" s="250">
        <f>A49*2^10*2^3</f>
        <v>8192</v>
      </c>
      <c r="V49" s="18" t="s">
        <v>41</v>
      </c>
      <c r="W49" s="204" t="s">
        <v>4</v>
      </c>
      <c r="X49" s="147">
        <v>2</v>
      </c>
      <c r="Y49" s="201">
        <v>10</v>
      </c>
    </row>
    <row r="50" spans="1:25" ht="24.95" customHeight="1" x14ac:dyDescent="0.3">
      <c r="A50" s="40">
        <v>1</v>
      </c>
      <c r="B50" s="41" t="s">
        <v>12</v>
      </c>
      <c r="C50" s="66" t="s">
        <v>27</v>
      </c>
      <c r="D50" s="76">
        <v>2</v>
      </c>
      <c r="E50" s="85">
        <v>30</v>
      </c>
      <c r="F50" s="250">
        <f>A50*2^20</f>
        <v>1048576</v>
      </c>
      <c r="G50" s="49" t="s">
        <v>6</v>
      </c>
      <c r="H50" s="50" t="s">
        <v>26</v>
      </c>
      <c r="I50" s="164">
        <v>2</v>
      </c>
      <c r="J50" s="197">
        <v>10</v>
      </c>
      <c r="K50" s="278">
        <f>A50*(2^30/10^3)</f>
        <v>1073741.824</v>
      </c>
      <c r="L50" s="17" t="s">
        <v>5</v>
      </c>
      <c r="M50" s="96" t="s">
        <v>18</v>
      </c>
      <c r="N50" s="147">
        <v>10</v>
      </c>
      <c r="O50" s="201">
        <v>3</v>
      </c>
      <c r="P50" s="250">
        <f>A50*(2^3*2^30/10^3)</f>
        <v>8589934.5920000002</v>
      </c>
      <c r="Q50" s="18" t="s">
        <v>3</v>
      </c>
      <c r="R50" s="204" t="s">
        <v>29</v>
      </c>
      <c r="S50" s="147">
        <v>10</v>
      </c>
      <c r="T50" s="201">
        <v>3</v>
      </c>
      <c r="U50" s="250">
        <f>A50*2^20*2^3</f>
        <v>8388608</v>
      </c>
      <c r="V50" s="18" t="s">
        <v>41</v>
      </c>
      <c r="W50" s="204" t="s">
        <v>4</v>
      </c>
      <c r="X50" s="147">
        <v>2</v>
      </c>
      <c r="Y50" s="201">
        <v>10</v>
      </c>
    </row>
    <row r="51" spans="1:25" ht="24.95" customHeight="1" thickBot="1" x14ac:dyDescent="0.35">
      <c r="A51" s="2">
        <v>1</v>
      </c>
      <c r="B51" s="28" t="s">
        <v>14</v>
      </c>
      <c r="C51" s="65" t="s">
        <v>28</v>
      </c>
      <c r="D51" s="75">
        <v>2</v>
      </c>
      <c r="E51" s="84">
        <v>40</v>
      </c>
      <c r="F51" s="251">
        <f>A51*2^30</f>
        <v>1073741824</v>
      </c>
      <c r="G51" s="51" t="s">
        <v>6</v>
      </c>
      <c r="H51" s="52" t="s">
        <v>26</v>
      </c>
      <c r="I51" s="165">
        <v>2</v>
      </c>
      <c r="J51" s="198">
        <v>10</v>
      </c>
      <c r="K51" s="279">
        <f>A51*(2^40/10^3)</f>
        <v>1099511627.776</v>
      </c>
      <c r="L51" s="19" t="s">
        <v>5</v>
      </c>
      <c r="M51" s="97" t="s">
        <v>18</v>
      </c>
      <c r="N51" s="148">
        <v>10</v>
      </c>
      <c r="O51" s="202">
        <v>3</v>
      </c>
      <c r="P51" s="279">
        <f>A51*(2^3*2^40/10^3)</f>
        <v>8796093022.2080002</v>
      </c>
      <c r="Q51" s="20" t="s">
        <v>3</v>
      </c>
      <c r="R51" s="205" t="s">
        <v>29</v>
      </c>
      <c r="S51" s="148">
        <v>10</v>
      </c>
      <c r="T51" s="202">
        <v>3</v>
      </c>
      <c r="U51" s="251">
        <f>A51*2^30*2^3</f>
        <v>8589934592</v>
      </c>
      <c r="V51" s="20" t="s">
        <v>41</v>
      </c>
      <c r="W51" s="205" t="s">
        <v>4</v>
      </c>
      <c r="X51" s="148">
        <v>2</v>
      </c>
      <c r="Y51" s="202">
        <v>10</v>
      </c>
    </row>
    <row r="52" spans="1:25" ht="24.95" customHeight="1" x14ac:dyDescent="0.3">
      <c r="A52" s="38">
        <v>1</v>
      </c>
      <c r="B52" s="39" t="s">
        <v>6</v>
      </c>
      <c r="C52" s="70" t="s">
        <v>26</v>
      </c>
      <c r="D52" s="80">
        <v>2</v>
      </c>
      <c r="E52" s="89">
        <v>10</v>
      </c>
      <c r="F52" s="252">
        <f>A52/2^10</f>
        <v>9.765625E-4</v>
      </c>
      <c r="G52" s="47" t="s">
        <v>9</v>
      </c>
      <c r="H52" s="48" t="s">
        <v>25</v>
      </c>
      <c r="I52" s="166">
        <v>2</v>
      </c>
      <c r="J52" s="196">
        <v>20</v>
      </c>
      <c r="K52" s="252">
        <f>A52*(2^10/10^6)</f>
        <v>1.024E-3</v>
      </c>
      <c r="L52" s="15" t="s">
        <v>8</v>
      </c>
      <c r="M52" s="95" t="s">
        <v>19</v>
      </c>
      <c r="N52" s="149">
        <v>10</v>
      </c>
      <c r="O52" s="200">
        <v>6</v>
      </c>
      <c r="P52" s="252">
        <f>A52*(2^3*2^10/10^6)</f>
        <v>8.1919999999999996E-3</v>
      </c>
      <c r="Q52" s="16" t="s">
        <v>7</v>
      </c>
      <c r="R52" s="206" t="s">
        <v>30</v>
      </c>
      <c r="S52" s="149">
        <v>10</v>
      </c>
      <c r="T52" s="200">
        <v>6</v>
      </c>
      <c r="U52" s="252">
        <f>A52/(2^10/2^3)</f>
        <v>7.8125E-3</v>
      </c>
      <c r="V52" s="16" t="s">
        <v>42</v>
      </c>
      <c r="W52" s="206" t="s">
        <v>34</v>
      </c>
      <c r="X52" s="149">
        <v>2</v>
      </c>
      <c r="Y52" s="200">
        <v>20</v>
      </c>
    </row>
    <row r="53" spans="1:25" ht="24.95" customHeight="1" x14ac:dyDescent="0.3">
      <c r="A53" s="40">
        <v>1</v>
      </c>
      <c r="B53" s="41" t="s">
        <v>9</v>
      </c>
      <c r="C53" s="66" t="s">
        <v>25</v>
      </c>
      <c r="D53" s="76">
        <v>2</v>
      </c>
      <c r="E53" s="85">
        <v>20</v>
      </c>
      <c r="F53" s="250">
        <f>A53*2^0</f>
        <v>1</v>
      </c>
      <c r="G53" s="49" t="s">
        <v>9</v>
      </c>
      <c r="H53" s="50" t="s">
        <v>25</v>
      </c>
      <c r="I53" s="164">
        <v>2</v>
      </c>
      <c r="J53" s="197">
        <v>20</v>
      </c>
      <c r="K53" s="250">
        <f>A53*(2^20/10^6)</f>
        <v>1.048576</v>
      </c>
      <c r="L53" s="17" t="s">
        <v>8</v>
      </c>
      <c r="M53" s="96" t="s">
        <v>19</v>
      </c>
      <c r="N53" s="147">
        <v>10</v>
      </c>
      <c r="O53" s="201">
        <v>6</v>
      </c>
      <c r="P53" s="250">
        <f>A53*(2^3*2^20/10^6)</f>
        <v>8.3886079999999996</v>
      </c>
      <c r="Q53" s="18" t="s">
        <v>7</v>
      </c>
      <c r="R53" s="204" t="s">
        <v>30</v>
      </c>
      <c r="S53" s="147">
        <v>10</v>
      </c>
      <c r="T53" s="201">
        <v>6</v>
      </c>
      <c r="U53" s="250">
        <f>A53*2^3</f>
        <v>8</v>
      </c>
      <c r="V53" s="18" t="s">
        <v>42</v>
      </c>
      <c r="W53" s="204" t="s">
        <v>34</v>
      </c>
      <c r="X53" s="147">
        <v>2</v>
      </c>
      <c r="Y53" s="201">
        <v>20</v>
      </c>
    </row>
    <row r="54" spans="1:25" ht="24.95" customHeight="1" x14ac:dyDescent="0.3">
      <c r="A54" s="40">
        <v>1</v>
      </c>
      <c r="B54" s="41" t="s">
        <v>12</v>
      </c>
      <c r="C54" s="66" t="s">
        <v>27</v>
      </c>
      <c r="D54" s="76">
        <v>2</v>
      </c>
      <c r="E54" s="85">
        <v>30</v>
      </c>
      <c r="F54" s="250">
        <f>A54*2^10</f>
        <v>1024</v>
      </c>
      <c r="G54" s="49" t="s">
        <v>9</v>
      </c>
      <c r="H54" s="50" t="s">
        <v>25</v>
      </c>
      <c r="I54" s="164">
        <v>2</v>
      </c>
      <c r="J54" s="197">
        <v>20</v>
      </c>
      <c r="K54" s="250">
        <f>A54*(2^30/10^6)</f>
        <v>1073.741824</v>
      </c>
      <c r="L54" s="17" t="s">
        <v>8</v>
      </c>
      <c r="M54" s="96" t="s">
        <v>19</v>
      </c>
      <c r="N54" s="147">
        <v>10</v>
      </c>
      <c r="O54" s="201">
        <v>6</v>
      </c>
      <c r="P54" s="250">
        <f>A54*(2^3*2^30/10^6)</f>
        <v>8589.9345919999996</v>
      </c>
      <c r="Q54" s="18" t="s">
        <v>7</v>
      </c>
      <c r="R54" s="204" t="s">
        <v>30</v>
      </c>
      <c r="S54" s="147">
        <v>10</v>
      </c>
      <c r="T54" s="201">
        <v>6</v>
      </c>
      <c r="U54" s="250">
        <f>A54*2^10*2^3</f>
        <v>8192</v>
      </c>
      <c r="V54" s="18" t="s">
        <v>42</v>
      </c>
      <c r="W54" s="204" t="s">
        <v>34</v>
      </c>
      <c r="X54" s="147">
        <v>2</v>
      </c>
      <c r="Y54" s="201">
        <v>20</v>
      </c>
    </row>
    <row r="55" spans="1:25" ht="24.95" customHeight="1" thickBot="1" x14ac:dyDescent="0.35">
      <c r="A55" s="4">
        <v>1</v>
      </c>
      <c r="B55" s="29" t="s">
        <v>14</v>
      </c>
      <c r="C55" s="68" t="s">
        <v>28</v>
      </c>
      <c r="D55" s="75">
        <v>2</v>
      </c>
      <c r="E55" s="84">
        <v>40</v>
      </c>
      <c r="F55" s="253">
        <f>A55*2^20</f>
        <v>1048576</v>
      </c>
      <c r="G55" s="53" t="s">
        <v>9</v>
      </c>
      <c r="H55" s="54" t="s">
        <v>25</v>
      </c>
      <c r="I55" s="167">
        <v>2</v>
      </c>
      <c r="J55" s="199">
        <v>20</v>
      </c>
      <c r="K55" s="280">
        <f>A55*(2^40/10^6)</f>
        <v>1099511.627776</v>
      </c>
      <c r="L55" s="21" t="s">
        <v>8</v>
      </c>
      <c r="M55" s="98" t="s">
        <v>19</v>
      </c>
      <c r="N55" s="150">
        <v>10</v>
      </c>
      <c r="O55" s="203">
        <v>6</v>
      </c>
      <c r="P55" s="279">
        <f>A55*(2^3*2^40/10^6)</f>
        <v>8796093.0222079996</v>
      </c>
      <c r="Q55" s="22" t="s">
        <v>7</v>
      </c>
      <c r="R55" s="207" t="s">
        <v>30</v>
      </c>
      <c r="S55" s="150">
        <v>10</v>
      </c>
      <c r="T55" s="203">
        <v>6</v>
      </c>
      <c r="U55" s="251">
        <f>A55*2^20*2^3</f>
        <v>8388608</v>
      </c>
      <c r="V55" s="20" t="s">
        <v>42</v>
      </c>
      <c r="W55" s="205" t="s">
        <v>34</v>
      </c>
      <c r="X55" s="150">
        <v>2</v>
      </c>
      <c r="Y55" s="203">
        <v>20</v>
      </c>
    </row>
    <row r="56" spans="1:25" ht="24.95" customHeight="1" x14ac:dyDescent="0.3">
      <c r="A56" s="40">
        <v>1</v>
      </c>
      <c r="B56" s="41" t="s">
        <v>6</v>
      </c>
      <c r="C56" s="66" t="s">
        <v>26</v>
      </c>
      <c r="D56" s="80">
        <v>2</v>
      </c>
      <c r="E56" s="89">
        <v>10</v>
      </c>
      <c r="F56" s="254">
        <f>A56/2^20</f>
        <v>9.5367431640625E-7</v>
      </c>
      <c r="G56" s="49" t="s">
        <v>12</v>
      </c>
      <c r="H56" s="50" t="s">
        <v>27</v>
      </c>
      <c r="I56" s="164">
        <v>2</v>
      </c>
      <c r="J56" s="197">
        <v>30</v>
      </c>
      <c r="K56" s="250">
        <f>A56*(2^10/10^9)</f>
        <v>1.0240000000000001E-6</v>
      </c>
      <c r="L56" s="17" t="s">
        <v>11</v>
      </c>
      <c r="M56" s="96" t="s">
        <v>20</v>
      </c>
      <c r="N56" s="147">
        <v>10</v>
      </c>
      <c r="O56" s="201">
        <v>9</v>
      </c>
      <c r="P56" s="252">
        <f>A56*(2^3*2^10/10^9)</f>
        <v>8.1920000000000005E-6</v>
      </c>
      <c r="Q56" s="18" t="s">
        <v>10</v>
      </c>
      <c r="R56" s="204" t="s">
        <v>31</v>
      </c>
      <c r="S56" s="147">
        <v>10</v>
      </c>
      <c r="T56" s="201">
        <v>9</v>
      </c>
      <c r="U56" s="315">
        <f>A56/(2^20/2^3)</f>
        <v>7.62939453125E-6</v>
      </c>
      <c r="V56" s="16" t="s">
        <v>43</v>
      </c>
      <c r="W56" s="206" t="s">
        <v>35</v>
      </c>
      <c r="X56" s="147">
        <v>2</v>
      </c>
      <c r="Y56" s="201">
        <v>30</v>
      </c>
    </row>
    <row r="57" spans="1:25" ht="24.95" customHeight="1" x14ac:dyDescent="0.3">
      <c r="A57" s="40">
        <v>1</v>
      </c>
      <c r="B57" s="41" t="s">
        <v>9</v>
      </c>
      <c r="C57" s="66" t="s">
        <v>25</v>
      </c>
      <c r="D57" s="76">
        <v>2</v>
      </c>
      <c r="E57" s="85">
        <v>20</v>
      </c>
      <c r="F57" s="250">
        <f>A57/2^10</f>
        <v>9.765625E-4</v>
      </c>
      <c r="G57" s="49" t="s">
        <v>12</v>
      </c>
      <c r="H57" s="50" t="s">
        <v>27</v>
      </c>
      <c r="I57" s="164">
        <v>2</v>
      </c>
      <c r="J57" s="197">
        <v>30</v>
      </c>
      <c r="K57" s="250">
        <f>A57*(2^20/10^9)</f>
        <v>1.0485760000000001E-3</v>
      </c>
      <c r="L57" s="17" t="s">
        <v>11</v>
      </c>
      <c r="M57" s="96" t="s">
        <v>20</v>
      </c>
      <c r="N57" s="147">
        <v>10</v>
      </c>
      <c r="O57" s="201">
        <v>9</v>
      </c>
      <c r="P57" s="250">
        <f>A57*(2^3*2^20/10^9)</f>
        <v>8.3886080000000005E-3</v>
      </c>
      <c r="Q57" s="18" t="s">
        <v>10</v>
      </c>
      <c r="R57" s="204" t="s">
        <v>31</v>
      </c>
      <c r="S57" s="147">
        <v>10</v>
      </c>
      <c r="T57" s="201">
        <v>9</v>
      </c>
      <c r="U57" s="250">
        <f>A57/(2^10/2^3)</f>
        <v>7.8125E-3</v>
      </c>
      <c r="V57" s="18" t="s">
        <v>43</v>
      </c>
      <c r="W57" s="204" t="s">
        <v>35</v>
      </c>
      <c r="X57" s="147">
        <v>2</v>
      </c>
      <c r="Y57" s="201">
        <v>30</v>
      </c>
    </row>
    <row r="58" spans="1:25" ht="24.95" customHeight="1" x14ac:dyDescent="0.3">
      <c r="A58" s="40">
        <v>1</v>
      </c>
      <c r="B58" s="41" t="s">
        <v>12</v>
      </c>
      <c r="C58" s="66" t="s">
        <v>27</v>
      </c>
      <c r="D58" s="76">
        <v>2</v>
      </c>
      <c r="E58" s="85">
        <v>30</v>
      </c>
      <c r="F58" s="250">
        <f>A58*2^0</f>
        <v>1</v>
      </c>
      <c r="G58" s="49" t="s">
        <v>12</v>
      </c>
      <c r="H58" s="50" t="s">
        <v>27</v>
      </c>
      <c r="I58" s="164">
        <v>2</v>
      </c>
      <c r="J58" s="197">
        <v>30</v>
      </c>
      <c r="K58" s="250">
        <f>A58*(2^30/10^9)</f>
        <v>1.0737418240000001</v>
      </c>
      <c r="L58" s="17" t="s">
        <v>11</v>
      </c>
      <c r="M58" s="96" t="s">
        <v>20</v>
      </c>
      <c r="N58" s="147">
        <v>10</v>
      </c>
      <c r="O58" s="201">
        <v>9</v>
      </c>
      <c r="P58" s="250">
        <f>A58*(2^3*2^30/10^9)</f>
        <v>8.5899345920000005</v>
      </c>
      <c r="Q58" s="18" t="s">
        <v>10</v>
      </c>
      <c r="R58" s="204" t="s">
        <v>31</v>
      </c>
      <c r="S58" s="147">
        <v>10</v>
      </c>
      <c r="T58" s="201">
        <v>9</v>
      </c>
      <c r="U58" s="250">
        <f>A58*2^3</f>
        <v>8</v>
      </c>
      <c r="V58" s="18" t="s">
        <v>43</v>
      </c>
      <c r="W58" s="204" t="s">
        <v>35</v>
      </c>
      <c r="X58" s="147">
        <v>2</v>
      </c>
      <c r="Y58" s="201">
        <v>30</v>
      </c>
    </row>
    <row r="59" spans="1:25" ht="24.95" customHeight="1" thickBot="1" x14ac:dyDescent="0.35">
      <c r="A59" s="4">
        <v>1</v>
      </c>
      <c r="B59" s="29" t="s">
        <v>14</v>
      </c>
      <c r="C59" s="68" t="s">
        <v>28</v>
      </c>
      <c r="D59" s="78">
        <v>2</v>
      </c>
      <c r="E59" s="87">
        <v>40</v>
      </c>
      <c r="F59" s="253">
        <f>A59*2^10</f>
        <v>1024</v>
      </c>
      <c r="G59" s="53" t="s">
        <v>12</v>
      </c>
      <c r="H59" s="54" t="s">
        <v>27</v>
      </c>
      <c r="I59" s="167">
        <v>2</v>
      </c>
      <c r="J59" s="199">
        <v>30</v>
      </c>
      <c r="K59" s="253">
        <f>A59*(2^40/10^9)</f>
        <v>1099.5116277760001</v>
      </c>
      <c r="L59" s="21" t="s">
        <v>11</v>
      </c>
      <c r="M59" s="98" t="s">
        <v>20</v>
      </c>
      <c r="N59" s="150">
        <v>10</v>
      </c>
      <c r="O59" s="203">
        <v>9</v>
      </c>
      <c r="P59" s="291">
        <f>A59*(2^3*2^40/10^9)</f>
        <v>8796.0930222080005</v>
      </c>
      <c r="Q59" s="22" t="s">
        <v>10</v>
      </c>
      <c r="R59" s="207" t="s">
        <v>31</v>
      </c>
      <c r="S59" s="150">
        <v>10</v>
      </c>
      <c r="T59" s="203">
        <v>9</v>
      </c>
      <c r="U59" s="253">
        <f>A59*2^10*2^3</f>
        <v>8192</v>
      </c>
      <c r="V59" s="22" t="s">
        <v>43</v>
      </c>
      <c r="W59" s="207" t="s">
        <v>35</v>
      </c>
      <c r="X59" s="150">
        <v>2</v>
      </c>
      <c r="Y59" s="203">
        <v>30</v>
      </c>
    </row>
    <row r="60" spans="1:25" ht="24.95" customHeight="1" x14ac:dyDescent="0.3">
      <c r="A60" s="40">
        <v>1</v>
      </c>
      <c r="B60" s="41" t="s">
        <v>6</v>
      </c>
      <c r="C60" s="66" t="s">
        <v>26</v>
      </c>
      <c r="D60" s="99">
        <v>2</v>
      </c>
      <c r="E60" s="100">
        <v>10</v>
      </c>
      <c r="F60" s="255">
        <f>A60/2^30</f>
        <v>9.3132257461547852E-10</v>
      </c>
      <c r="G60" s="49" t="s">
        <v>14</v>
      </c>
      <c r="H60" s="50" t="s">
        <v>28</v>
      </c>
      <c r="I60" s="164">
        <v>2</v>
      </c>
      <c r="J60" s="197">
        <v>40</v>
      </c>
      <c r="K60" s="281">
        <f>A60*(2^10/10^12)</f>
        <v>1.024E-9</v>
      </c>
      <c r="L60" s="17" t="s">
        <v>13</v>
      </c>
      <c r="M60" s="96" t="s">
        <v>22</v>
      </c>
      <c r="N60" s="147">
        <v>10</v>
      </c>
      <c r="O60" s="201">
        <v>12</v>
      </c>
      <c r="P60" s="281">
        <f>A60*(2^3*2^10/10^12)</f>
        <v>8.1919999999999998E-9</v>
      </c>
      <c r="Q60" s="18" t="s">
        <v>24</v>
      </c>
      <c r="R60" s="204" t="s">
        <v>32</v>
      </c>
      <c r="S60" s="147">
        <v>10</v>
      </c>
      <c r="T60" s="201">
        <v>12</v>
      </c>
      <c r="U60" s="316">
        <f>A60/(2^30/2^3)</f>
        <v>7.4505805969238281E-9</v>
      </c>
      <c r="V60" s="23" t="s">
        <v>44</v>
      </c>
      <c r="W60" s="236" t="s">
        <v>36</v>
      </c>
      <c r="X60" s="147">
        <v>2</v>
      </c>
      <c r="Y60" s="201">
        <v>40</v>
      </c>
    </row>
    <row r="61" spans="1:25" ht="24.95" customHeight="1" x14ac:dyDescent="0.3">
      <c r="A61" s="40">
        <v>1</v>
      </c>
      <c r="B61" s="41" t="s">
        <v>9</v>
      </c>
      <c r="C61" s="66" t="s">
        <v>25</v>
      </c>
      <c r="D61" s="76">
        <v>2</v>
      </c>
      <c r="E61" s="85">
        <v>20</v>
      </c>
      <c r="F61" s="254">
        <f>A61/2^20</f>
        <v>9.5367431640625E-7</v>
      </c>
      <c r="G61" s="49" t="s">
        <v>14</v>
      </c>
      <c r="H61" s="50" t="s">
        <v>28</v>
      </c>
      <c r="I61" s="164">
        <v>2</v>
      </c>
      <c r="J61" s="197">
        <v>40</v>
      </c>
      <c r="K61" s="281">
        <f>A61*(2^20/10^12)</f>
        <v>1.048576E-6</v>
      </c>
      <c r="L61" s="17" t="s">
        <v>13</v>
      </c>
      <c r="M61" s="96" t="s">
        <v>22</v>
      </c>
      <c r="N61" s="147">
        <v>10</v>
      </c>
      <c r="O61" s="201">
        <v>12</v>
      </c>
      <c r="P61" s="281">
        <f>A61*(2^3*2^20/10^12)</f>
        <v>8.3886079999999998E-6</v>
      </c>
      <c r="Q61" s="18" t="s">
        <v>24</v>
      </c>
      <c r="R61" s="204" t="s">
        <v>32</v>
      </c>
      <c r="S61" s="147">
        <v>10</v>
      </c>
      <c r="T61" s="201">
        <v>12</v>
      </c>
      <c r="U61" s="317">
        <f>A61/(2^20/2^3)</f>
        <v>7.62939453125E-6</v>
      </c>
      <c r="V61" s="18" t="s">
        <v>44</v>
      </c>
      <c r="W61" s="204" t="s">
        <v>36</v>
      </c>
      <c r="X61" s="147">
        <v>2</v>
      </c>
      <c r="Y61" s="201">
        <v>40</v>
      </c>
    </row>
    <row r="62" spans="1:25" ht="24.95" customHeight="1" x14ac:dyDescent="0.3">
      <c r="A62" s="40">
        <v>1</v>
      </c>
      <c r="B62" s="41" t="s">
        <v>12</v>
      </c>
      <c r="C62" s="66" t="s">
        <v>27</v>
      </c>
      <c r="D62" s="76">
        <v>2</v>
      </c>
      <c r="E62" s="85">
        <v>30</v>
      </c>
      <c r="F62" s="250">
        <f>A62/2^10</f>
        <v>9.765625E-4</v>
      </c>
      <c r="G62" s="49" t="s">
        <v>14</v>
      </c>
      <c r="H62" s="50" t="s">
        <v>28</v>
      </c>
      <c r="I62" s="164">
        <v>2</v>
      </c>
      <c r="J62" s="197">
        <v>40</v>
      </c>
      <c r="K62" s="250">
        <f>A62*(2^30/10^12)</f>
        <v>1.073741824E-3</v>
      </c>
      <c r="L62" s="17" t="s">
        <v>13</v>
      </c>
      <c r="M62" s="96" t="s">
        <v>22</v>
      </c>
      <c r="N62" s="147">
        <v>10</v>
      </c>
      <c r="O62" s="201">
        <v>12</v>
      </c>
      <c r="P62" s="250">
        <f>A62*(2^3*2^30/10^12)</f>
        <v>8.5899345919999998E-3</v>
      </c>
      <c r="Q62" s="18" t="s">
        <v>24</v>
      </c>
      <c r="R62" s="204" t="s">
        <v>32</v>
      </c>
      <c r="S62" s="147">
        <v>10</v>
      </c>
      <c r="T62" s="201">
        <v>12</v>
      </c>
      <c r="U62" s="250">
        <f>A62/(2^10/2^3)</f>
        <v>7.8125E-3</v>
      </c>
      <c r="V62" s="18" t="s">
        <v>44</v>
      </c>
      <c r="W62" s="204" t="s">
        <v>36</v>
      </c>
      <c r="X62" s="147">
        <v>2</v>
      </c>
      <c r="Y62" s="201">
        <v>40</v>
      </c>
    </row>
    <row r="63" spans="1:25" ht="24.95" customHeight="1" thickBot="1" x14ac:dyDescent="0.35">
      <c r="A63" s="4">
        <v>1</v>
      </c>
      <c r="B63" s="29" t="s">
        <v>14</v>
      </c>
      <c r="C63" s="68" t="s">
        <v>28</v>
      </c>
      <c r="D63" s="78">
        <v>2</v>
      </c>
      <c r="E63" s="87">
        <v>40</v>
      </c>
      <c r="F63" s="253">
        <f>A63*2^0</f>
        <v>1</v>
      </c>
      <c r="G63" s="53" t="s">
        <v>14</v>
      </c>
      <c r="H63" s="54" t="s">
        <v>28</v>
      </c>
      <c r="I63" s="167">
        <v>2</v>
      </c>
      <c r="J63" s="199">
        <v>40</v>
      </c>
      <c r="K63" s="253">
        <f>A63*(2^40/10^12)</f>
        <v>1.099511627776</v>
      </c>
      <c r="L63" s="21" t="s">
        <v>13</v>
      </c>
      <c r="M63" s="98" t="s">
        <v>22</v>
      </c>
      <c r="N63" s="150">
        <v>10</v>
      </c>
      <c r="O63" s="203">
        <v>12</v>
      </c>
      <c r="P63" s="292">
        <f>A63*(2^3*2^40/10^12)</f>
        <v>8.7960930222079998</v>
      </c>
      <c r="Q63" s="22" t="s">
        <v>24</v>
      </c>
      <c r="R63" s="207" t="s">
        <v>32</v>
      </c>
      <c r="S63" s="150">
        <v>10</v>
      </c>
      <c r="T63" s="203">
        <v>12</v>
      </c>
      <c r="U63" s="251">
        <f>A63*2^3</f>
        <v>8</v>
      </c>
      <c r="V63" s="18" t="s">
        <v>44</v>
      </c>
      <c r="W63" s="204" t="s">
        <v>36</v>
      </c>
      <c r="X63" s="150">
        <v>2</v>
      </c>
      <c r="Y63" s="203">
        <v>40</v>
      </c>
    </row>
    <row r="64" spans="1:25" ht="24.95" customHeight="1" thickBot="1" x14ac:dyDescent="0.35">
      <c r="A64" s="44"/>
      <c r="B64" s="45"/>
      <c r="C64" s="45"/>
      <c r="D64" s="81"/>
      <c r="E64" s="72"/>
      <c r="F64" s="81"/>
      <c r="G64" s="45"/>
      <c r="H64" s="45"/>
      <c r="I64" s="81"/>
      <c r="J64" s="71"/>
      <c r="K64" s="81"/>
      <c r="L64" s="45"/>
      <c r="M64" s="45"/>
      <c r="N64" s="81"/>
      <c r="O64" s="71"/>
      <c r="P64" s="81"/>
      <c r="Q64" s="45"/>
      <c r="R64" s="45"/>
      <c r="S64" s="81"/>
      <c r="T64" s="71"/>
      <c r="U64" s="314"/>
      <c r="V64" s="45"/>
      <c r="W64" s="45"/>
      <c r="X64" s="81"/>
      <c r="Y64" s="224"/>
    </row>
    <row r="65" spans="1:25" ht="24.95" customHeight="1" x14ac:dyDescent="0.3">
      <c r="A65" s="2">
        <v>1</v>
      </c>
      <c r="B65" s="28" t="s">
        <v>3</v>
      </c>
      <c r="C65" s="65" t="s">
        <v>29</v>
      </c>
      <c r="D65" s="77">
        <v>10</v>
      </c>
      <c r="E65" s="86">
        <v>3</v>
      </c>
      <c r="F65" s="256"/>
      <c r="G65" s="103"/>
      <c r="H65" s="102"/>
      <c r="I65" s="168"/>
      <c r="J65" s="225"/>
      <c r="K65" s="256">
        <f>A65*10^3</f>
        <v>1000</v>
      </c>
      <c r="L65" s="104" t="s">
        <v>1</v>
      </c>
      <c r="M65" s="105" t="s">
        <v>0</v>
      </c>
      <c r="N65" s="151"/>
      <c r="O65" s="212"/>
      <c r="P65" s="256"/>
      <c r="Q65" s="106"/>
      <c r="R65" s="208"/>
      <c r="S65" s="151"/>
      <c r="T65" s="212"/>
      <c r="U65" s="256"/>
      <c r="V65" s="106"/>
      <c r="W65" s="208"/>
      <c r="X65" s="151"/>
      <c r="Y65" s="212"/>
    </row>
    <row r="66" spans="1:25" ht="24.95" customHeight="1" x14ac:dyDescent="0.3">
      <c r="A66" s="40">
        <v>1</v>
      </c>
      <c r="B66" s="41" t="s">
        <v>7</v>
      </c>
      <c r="C66" s="66" t="s">
        <v>30</v>
      </c>
      <c r="D66" s="76">
        <v>10</v>
      </c>
      <c r="E66" s="85">
        <v>6</v>
      </c>
      <c r="F66" s="257"/>
      <c r="G66" s="108"/>
      <c r="H66" s="107"/>
      <c r="I66" s="169"/>
      <c r="J66" s="226"/>
      <c r="K66" s="257">
        <f>A66*10^6</f>
        <v>1000000</v>
      </c>
      <c r="L66" s="109" t="s">
        <v>1</v>
      </c>
      <c r="M66" s="110" t="s">
        <v>0</v>
      </c>
      <c r="N66" s="152"/>
      <c r="O66" s="213"/>
      <c r="P66" s="257"/>
      <c r="Q66" s="111"/>
      <c r="R66" s="209"/>
      <c r="S66" s="152"/>
      <c r="T66" s="213"/>
      <c r="U66" s="257"/>
      <c r="V66" s="111"/>
      <c r="W66" s="209"/>
      <c r="X66" s="152"/>
      <c r="Y66" s="213"/>
    </row>
    <row r="67" spans="1:25" ht="24.95" customHeight="1" x14ac:dyDescent="0.3">
      <c r="A67" s="40">
        <v>1</v>
      </c>
      <c r="B67" s="41" t="s">
        <v>10</v>
      </c>
      <c r="C67" s="66" t="s">
        <v>31</v>
      </c>
      <c r="D67" s="76">
        <v>10</v>
      </c>
      <c r="E67" s="85">
        <v>9</v>
      </c>
      <c r="F67" s="257"/>
      <c r="G67" s="108"/>
      <c r="H67" s="107"/>
      <c r="I67" s="169"/>
      <c r="J67" s="226"/>
      <c r="K67" s="257">
        <f>A67*10^9</f>
        <v>1000000000</v>
      </c>
      <c r="L67" s="109" t="s">
        <v>1</v>
      </c>
      <c r="M67" s="110" t="s">
        <v>0</v>
      </c>
      <c r="N67" s="152"/>
      <c r="O67" s="213"/>
      <c r="P67" s="257"/>
      <c r="Q67" s="111"/>
      <c r="R67" s="209"/>
      <c r="S67" s="152"/>
      <c r="T67" s="213"/>
      <c r="U67" s="257"/>
      <c r="V67" s="111"/>
      <c r="W67" s="209"/>
      <c r="X67" s="152"/>
      <c r="Y67" s="213"/>
    </row>
    <row r="68" spans="1:25" ht="24.95" customHeight="1" thickBot="1" x14ac:dyDescent="0.35">
      <c r="A68" s="2">
        <v>1</v>
      </c>
      <c r="B68" s="28" t="s">
        <v>24</v>
      </c>
      <c r="C68" s="65" t="s">
        <v>32</v>
      </c>
      <c r="D68" s="75">
        <v>10</v>
      </c>
      <c r="E68" s="84">
        <v>12</v>
      </c>
      <c r="F68" s="257"/>
      <c r="G68" s="108"/>
      <c r="H68" s="107"/>
      <c r="I68" s="169"/>
      <c r="J68" s="226"/>
      <c r="K68" s="282">
        <f>A68*10^12</f>
        <v>1000000000000</v>
      </c>
      <c r="L68" s="109" t="s">
        <v>1</v>
      </c>
      <c r="M68" s="110" t="s">
        <v>0</v>
      </c>
      <c r="N68" s="152"/>
      <c r="O68" s="213"/>
      <c r="P68" s="257"/>
      <c r="Q68" s="111"/>
      <c r="R68" s="209"/>
      <c r="S68" s="152"/>
      <c r="T68" s="213"/>
      <c r="U68" s="257"/>
      <c r="V68" s="111"/>
      <c r="W68" s="209"/>
      <c r="X68" s="152"/>
      <c r="Y68" s="213"/>
    </row>
    <row r="69" spans="1:25" ht="24.95" customHeight="1" x14ac:dyDescent="0.3">
      <c r="A69" s="3">
        <v>1</v>
      </c>
      <c r="B69" s="27" t="s">
        <v>3</v>
      </c>
      <c r="C69" s="67" t="s">
        <v>29</v>
      </c>
      <c r="D69" s="77">
        <v>10</v>
      </c>
      <c r="E69" s="86">
        <v>3</v>
      </c>
      <c r="F69" s="256"/>
      <c r="G69" s="103"/>
      <c r="H69" s="102"/>
      <c r="I69" s="168"/>
      <c r="J69" s="225"/>
      <c r="K69" s="256">
        <f>A69*10^3/2^3</f>
        <v>125</v>
      </c>
      <c r="L69" s="104" t="s">
        <v>2</v>
      </c>
      <c r="M69" s="105" t="s">
        <v>17</v>
      </c>
      <c r="N69" s="151">
        <v>2</v>
      </c>
      <c r="O69" s="212">
        <v>3</v>
      </c>
      <c r="P69" s="256"/>
      <c r="Q69" s="106"/>
      <c r="R69" s="208"/>
      <c r="S69" s="151"/>
      <c r="T69" s="212"/>
      <c r="U69" s="256"/>
      <c r="V69" s="106"/>
      <c r="W69" s="208"/>
      <c r="X69" s="151"/>
      <c r="Y69" s="212"/>
    </row>
    <row r="70" spans="1:25" ht="24.95" customHeight="1" x14ac:dyDescent="0.3">
      <c r="A70" s="40">
        <v>1</v>
      </c>
      <c r="B70" s="41" t="s">
        <v>7</v>
      </c>
      <c r="C70" s="66" t="s">
        <v>30</v>
      </c>
      <c r="D70" s="76">
        <v>10</v>
      </c>
      <c r="E70" s="85">
        <v>6</v>
      </c>
      <c r="F70" s="257"/>
      <c r="G70" s="108"/>
      <c r="H70" s="107"/>
      <c r="I70" s="169"/>
      <c r="J70" s="226"/>
      <c r="K70" s="257">
        <f>A70*(10^6/2^3)</f>
        <v>125000</v>
      </c>
      <c r="L70" s="109" t="s">
        <v>2</v>
      </c>
      <c r="M70" s="110" t="s">
        <v>17</v>
      </c>
      <c r="N70" s="152">
        <v>2</v>
      </c>
      <c r="O70" s="213">
        <v>3</v>
      </c>
      <c r="P70" s="257"/>
      <c r="Q70" s="111"/>
      <c r="R70" s="209"/>
      <c r="S70" s="152"/>
      <c r="T70" s="213"/>
      <c r="U70" s="257"/>
      <c r="V70" s="111"/>
      <c r="W70" s="209"/>
      <c r="X70" s="152"/>
      <c r="Y70" s="213"/>
    </row>
    <row r="71" spans="1:25" ht="24.95" customHeight="1" x14ac:dyDescent="0.3">
      <c r="A71" s="40">
        <v>1</v>
      </c>
      <c r="B71" s="41" t="s">
        <v>10</v>
      </c>
      <c r="C71" s="66" t="s">
        <v>31</v>
      </c>
      <c r="D71" s="76">
        <v>10</v>
      </c>
      <c r="E71" s="85">
        <v>9</v>
      </c>
      <c r="F71" s="257"/>
      <c r="G71" s="108"/>
      <c r="H71" s="107"/>
      <c r="I71" s="169"/>
      <c r="J71" s="226"/>
      <c r="K71" s="257">
        <f>A71*(10^9/2^3)</f>
        <v>125000000</v>
      </c>
      <c r="L71" s="109" t="s">
        <v>2</v>
      </c>
      <c r="M71" s="110" t="s">
        <v>17</v>
      </c>
      <c r="N71" s="152">
        <v>2</v>
      </c>
      <c r="O71" s="213">
        <v>3</v>
      </c>
      <c r="P71" s="257"/>
      <c r="Q71" s="111"/>
      <c r="R71" s="209"/>
      <c r="S71" s="152"/>
      <c r="T71" s="213"/>
      <c r="U71" s="257"/>
      <c r="V71" s="111"/>
      <c r="W71" s="209"/>
      <c r="X71" s="152"/>
      <c r="Y71" s="213"/>
    </row>
    <row r="72" spans="1:25" ht="24.95" customHeight="1" thickBot="1" x14ac:dyDescent="0.35">
      <c r="A72" s="2">
        <v>1</v>
      </c>
      <c r="B72" s="28" t="s">
        <v>24</v>
      </c>
      <c r="C72" s="65" t="s">
        <v>32</v>
      </c>
      <c r="D72" s="75">
        <v>10</v>
      </c>
      <c r="E72" s="84">
        <v>12</v>
      </c>
      <c r="F72" s="258"/>
      <c r="G72" s="113"/>
      <c r="H72" s="112"/>
      <c r="I72" s="170"/>
      <c r="J72" s="227"/>
      <c r="K72" s="283">
        <f>A72*(10^12/2^3)</f>
        <v>125000000000</v>
      </c>
      <c r="L72" s="114" t="s">
        <v>2</v>
      </c>
      <c r="M72" s="115" t="s">
        <v>17</v>
      </c>
      <c r="N72" s="153">
        <v>2</v>
      </c>
      <c r="O72" s="214">
        <v>3</v>
      </c>
      <c r="P72" s="257"/>
      <c r="Q72" s="116"/>
      <c r="R72" s="210"/>
      <c r="S72" s="153"/>
      <c r="T72" s="214"/>
      <c r="U72" s="257"/>
      <c r="V72" s="116"/>
      <c r="W72" s="210"/>
      <c r="X72" s="153"/>
      <c r="Y72" s="214"/>
    </row>
    <row r="73" spans="1:25" ht="24.95" customHeight="1" x14ac:dyDescent="0.3">
      <c r="A73" s="3">
        <v>1</v>
      </c>
      <c r="B73" s="27" t="s">
        <v>3</v>
      </c>
      <c r="C73" s="67" t="s">
        <v>29</v>
      </c>
      <c r="D73" s="77">
        <v>10</v>
      </c>
      <c r="E73" s="86">
        <v>3</v>
      </c>
      <c r="F73" s="256">
        <f>A73*10^0</f>
        <v>1</v>
      </c>
      <c r="G73" s="103" t="s">
        <v>3</v>
      </c>
      <c r="H73" s="102" t="s">
        <v>29</v>
      </c>
      <c r="I73" s="168">
        <v>10</v>
      </c>
      <c r="J73" s="225">
        <v>3</v>
      </c>
      <c r="K73" s="168">
        <f>A73/2^3</f>
        <v>0.125</v>
      </c>
      <c r="L73" s="104" t="s">
        <v>5</v>
      </c>
      <c r="M73" s="105" t="s">
        <v>18</v>
      </c>
      <c r="N73" s="151">
        <v>10</v>
      </c>
      <c r="O73" s="212">
        <v>3</v>
      </c>
      <c r="P73" s="256">
        <f>A73*(2^3*2^10/10^3)</f>
        <v>8.1920000000000002</v>
      </c>
      <c r="Q73" s="106" t="s">
        <v>6</v>
      </c>
      <c r="R73" s="208" t="s">
        <v>26</v>
      </c>
      <c r="S73" s="151">
        <v>2</v>
      </c>
      <c r="T73" s="212">
        <v>10</v>
      </c>
      <c r="U73" s="256">
        <f>A73/(2^10/10^3)</f>
        <v>0.9765625</v>
      </c>
      <c r="V73" s="106" t="s">
        <v>41</v>
      </c>
      <c r="W73" s="208" t="s">
        <v>4</v>
      </c>
      <c r="X73" s="151">
        <v>2</v>
      </c>
      <c r="Y73" s="212">
        <v>10</v>
      </c>
    </row>
    <row r="74" spans="1:25" ht="24.95" customHeight="1" x14ac:dyDescent="0.3">
      <c r="A74" s="40">
        <v>1</v>
      </c>
      <c r="B74" s="41" t="s">
        <v>7</v>
      </c>
      <c r="C74" s="66" t="s">
        <v>30</v>
      </c>
      <c r="D74" s="76">
        <v>10</v>
      </c>
      <c r="E74" s="85">
        <v>6</v>
      </c>
      <c r="F74" s="257">
        <f>A74*10^3</f>
        <v>1000</v>
      </c>
      <c r="G74" s="108" t="s">
        <v>3</v>
      </c>
      <c r="H74" s="107" t="s">
        <v>29</v>
      </c>
      <c r="I74" s="169">
        <v>10</v>
      </c>
      <c r="J74" s="226">
        <v>3</v>
      </c>
      <c r="K74" s="257">
        <f>A74*10^3/2^3</f>
        <v>125</v>
      </c>
      <c r="L74" s="109" t="s">
        <v>5</v>
      </c>
      <c r="M74" s="110" t="s">
        <v>18</v>
      </c>
      <c r="N74" s="152">
        <v>10</v>
      </c>
      <c r="O74" s="213">
        <v>3</v>
      </c>
      <c r="P74" s="257">
        <f>A74/(2^3*2^10/10^6)</f>
        <v>122.0703125</v>
      </c>
      <c r="Q74" s="111" t="s">
        <v>6</v>
      </c>
      <c r="R74" s="209" t="s">
        <v>26</v>
      </c>
      <c r="S74" s="152">
        <v>2</v>
      </c>
      <c r="T74" s="213">
        <v>10</v>
      </c>
      <c r="U74" s="257">
        <f>A74/(2^10/10^6)</f>
        <v>976.5625</v>
      </c>
      <c r="V74" s="111" t="s">
        <v>41</v>
      </c>
      <c r="W74" s="209" t="s">
        <v>4</v>
      </c>
      <c r="X74" s="152">
        <v>2</v>
      </c>
      <c r="Y74" s="213">
        <v>10</v>
      </c>
    </row>
    <row r="75" spans="1:25" ht="24.95" customHeight="1" x14ac:dyDescent="0.3">
      <c r="A75" s="40">
        <v>1</v>
      </c>
      <c r="B75" s="41" t="s">
        <v>10</v>
      </c>
      <c r="C75" s="66" t="s">
        <v>31</v>
      </c>
      <c r="D75" s="76">
        <v>10</v>
      </c>
      <c r="E75" s="85">
        <v>9</v>
      </c>
      <c r="F75" s="257">
        <f>A75*10^6</f>
        <v>1000000</v>
      </c>
      <c r="G75" s="108" t="s">
        <v>3</v>
      </c>
      <c r="H75" s="107" t="s">
        <v>29</v>
      </c>
      <c r="I75" s="169">
        <v>10</v>
      </c>
      <c r="J75" s="226">
        <v>3</v>
      </c>
      <c r="K75" s="257">
        <f>A75*(10^6/2^3)</f>
        <v>125000</v>
      </c>
      <c r="L75" s="109" t="s">
        <v>5</v>
      </c>
      <c r="M75" s="110" t="s">
        <v>18</v>
      </c>
      <c r="N75" s="152">
        <v>10</v>
      </c>
      <c r="O75" s="213">
        <v>3</v>
      </c>
      <c r="P75" s="257">
        <f>A75/(2^3*2^10/10^9)</f>
        <v>122070.31249999999</v>
      </c>
      <c r="Q75" s="111" t="s">
        <v>6</v>
      </c>
      <c r="R75" s="209" t="s">
        <v>26</v>
      </c>
      <c r="S75" s="152">
        <v>2</v>
      </c>
      <c r="T75" s="213">
        <v>10</v>
      </c>
      <c r="U75" s="257">
        <f>A75/(2^10/10^9)</f>
        <v>976562.49999999988</v>
      </c>
      <c r="V75" s="111" t="s">
        <v>41</v>
      </c>
      <c r="W75" s="209" t="s">
        <v>4</v>
      </c>
      <c r="X75" s="152">
        <v>2</v>
      </c>
      <c r="Y75" s="213">
        <v>10</v>
      </c>
    </row>
    <row r="76" spans="1:25" ht="24.95" customHeight="1" thickBot="1" x14ac:dyDescent="0.35">
      <c r="A76" s="2">
        <v>1</v>
      </c>
      <c r="B76" s="28" t="s">
        <v>24</v>
      </c>
      <c r="C76" s="65" t="s">
        <v>32</v>
      </c>
      <c r="D76" s="75">
        <v>10</v>
      </c>
      <c r="E76" s="84">
        <v>12</v>
      </c>
      <c r="F76" s="257">
        <f>A76*10^9</f>
        <v>1000000000</v>
      </c>
      <c r="G76" s="108" t="s">
        <v>3</v>
      </c>
      <c r="H76" s="107" t="s">
        <v>29</v>
      </c>
      <c r="I76" s="169">
        <v>10</v>
      </c>
      <c r="J76" s="226">
        <v>3</v>
      </c>
      <c r="K76" s="257">
        <f>A76*(10^9/2^3)</f>
        <v>125000000</v>
      </c>
      <c r="L76" s="109" t="s">
        <v>5</v>
      </c>
      <c r="M76" s="110" t="s">
        <v>18</v>
      </c>
      <c r="N76" s="152">
        <v>10</v>
      </c>
      <c r="O76" s="213">
        <v>3</v>
      </c>
      <c r="P76" s="257">
        <f>A76/(2^3*2^10/10^12)</f>
        <v>122070312.5</v>
      </c>
      <c r="Q76" s="116" t="s">
        <v>6</v>
      </c>
      <c r="R76" s="210" t="s">
        <v>26</v>
      </c>
      <c r="S76" s="152">
        <v>2</v>
      </c>
      <c r="T76" s="213">
        <v>10</v>
      </c>
      <c r="U76" s="257">
        <f>A76/(2^10/10^12)</f>
        <v>976562500</v>
      </c>
      <c r="V76" s="116" t="s">
        <v>41</v>
      </c>
      <c r="W76" s="210" t="s">
        <v>4</v>
      </c>
      <c r="X76" s="152">
        <v>2</v>
      </c>
      <c r="Y76" s="213">
        <v>10</v>
      </c>
    </row>
    <row r="77" spans="1:25" ht="24.95" customHeight="1" x14ac:dyDescent="0.3">
      <c r="A77" s="3">
        <v>1</v>
      </c>
      <c r="B77" s="27" t="s">
        <v>3</v>
      </c>
      <c r="C77" s="67" t="s">
        <v>29</v>
      </c>
      <c r="D77" s="77">
        <v>10</v>
      </c>
      <c r="E77" s="86">
        <v>3</v>
      </c>
      <c r="F77" s="256">
        <f>A77/10^3</f>
        <v>1E-3</v>
      </c>
      <c r="G77" s="103" t="s">
        <v>7</v>
      </c>
      <c r="H77" s="102" t="s">
        <v>30</v>
      </c>
      <c r="I77" s="168">
        <v>10</v>
      </c>
      <c r="J77" s="225">
        <v>6</v>
      </c>
      <c r="K77" s="256">
        <f>A77/2^3/10^3</f>
        <v>1.25E-4</v>
      </c>
      <c r="L77" s="104" t="s">
        <v>8</v>
      </c>
      <c r="M77" s="105" t="s">
        <v>19</v>
      </c>
      <c r="N77" s="151">
        <v>10</v>
      </c>
      <c r="O77" s="212">
        <v>6</v>
      </c>
      <c r="P77" s="293">
        <f>A77/(2^3*2^20/10^3)</f>
        <v>1.1920928955078125E-4</v>
      </c>
      <c r="Q77" s="106" t="s">
        <v>9</v>
      </c>
      <c r="R77" s="208" t="s">
        <v>25</v>
      </c>
      <c r="S77" s="151">
        <v>2</v>
      </c>
      <c r="T77" s="212">
        <v>20</v>
      </c>
      <c r="U77" s="256">
        <f>A77/(2^20/10^3)</f>
        <v>9.5367431640625E-4</v>
      </c>
      <c r="V77" s="106" t="s">
        <v>42</v>
      </c>
      <c r="W77" s="208" t="s">
        <v>34</v>
      </c>
      <c r="X77" s="151">
        <v>2</v>
      </c>
      <c r="Y77" s="212">
        <v>20</v>
      </c>
    </row>
    <row r="78" spans="1:25" ht="24.95" customHeight="1" x14ac:dyDescent="0.3">
      <c r="A78" s="40">
        <v>1</v>
      </c>
      <c r="B78" s="41" t="s">
        <v>7</v>
      </c>
      <c r="C78" s="66" t="s">
        <v>30</v>
      </c>
      <c r="D78" s="76">
        <v>10</v>
      </c>
      <c r="E78" s="85">
        <v>6</v>
      </c>
      <c r="F78" s="257">
        <f>A78*10^0</f>
        <v>1</v>
      </c>
      <c r="G78" s="108" t="s">
        <v>7</v>
      </c>
      <c r="H78" s="107" t="s">
        <v>30</v>
      </c>
      <c r="I78" s="169">
        <v>10</v>
      </c>
      <c r="J78" s="226">
        <v>6</v>
      </c>
      <c r="K78" s="257">
        <f>A78/2^3</f>
        <v>0.125</v>
      </c>
      <c r="L78" s="109" t="s">
        <v>8</v>
      </c>
      <c r="M78" s="110" t="s">
        <v>19</v>
      </c>
      <c r="N78" s="152">
        <v>10</v>
      </c>
      <c r="O78" s="213">
        <v>6</v>
      </c>
      <c r="P78" s="257">
        <f>A78/(2^3*2^20/10^6)</f>
        <v>0.11920928955078125</v>
      </c>
      <c r="Q78" s="111" t="s">
        <v>9</v>
      </c>
      <c r="R78" s="209" t="s">
        <v>25</v>
      </c>
      <c r="S78" s="152">
        <v>2</v>
      </c>
      <c r="T78" s="213">
        <v>20</v>
      </c>
      <c r="U78" s="257">
        <f>A78/(2^20/10^6)</f>
        <v>0.95367431640625</v>
      </c>
      <c r="V78" s="111" t="s">
        <v>42</v>
      </c>
      <c r="W78" s="209" t="s">
        <v>34</v>
      </c>
      <c r="X78" s="152">
        <v>2</v>
      </c>
      <c r="Y78" s="213">
        <v>20</v>
      </c>
    </row>
    <row r="79" spans="1:25" ht="24.95" customHeight="1" x14ac:dyDescent="0.3">
      <c r="A79" s="40">
        <v>1</v>
      </c>
      <c r="B79" s="41" t="s">
        <v>10</v>
      </c>
      <c r="C79" s="66" t="s">
        <v>31</v>
      </c>
      <c r="D79" s="76">
        <v>10</v>
      </c>
      <c r="E79" s="85">
        <v>9</v>
      </c>
      <c r="F79" s="257">
        <f>A79*10^3</f>
        <v>1000</v>
      </c>
      <c r="G79" s="108" t="s">
        <v>7</v>
      </c>
      <c r="H79" s="107" t="s">
        <v>30</v>
      </c>
      <c r="I79" s="169">
        <v>10</v>
      </c>
      <c r="J79" s="226">
        <v>6</v>
      </c>
      <c r="K79" s="257">
        <f>A79*10^3/2^3</f>
        <v>125</v>
      </c>
      <c r="L79" s="109" t="s">
        <v>8</v>
      </c>
      <c r="M79" s="110" t="s">
        <v>19</v>
      </c>
      <c r="N79" s="152">
        <v>10</v>
      </c>
      <c r="O79" s="213">
        <v>6</v>
      </c>
      <c r="P79" s="257">
        <f>A79/(2^3*2^20/10^9)</f>
        <v>119.20928955078124</v>
      </c>
      <c r="Q79" s="111" t="s">
        <v>9</v>
      </c>
      <c r="R79" s="209" t="s">
        <v>25</v>
      </c>
      <c r="S79" s="152">
        <v>2</v>
      </c>
      <c r="T79" s="213">
        <v>20</v>
      </c>
      <c r="U79" s="257">
        <f>A79/(2^20/10^9)</f>
        <v>953.67431640624989</v>
      </c>
      <c r="V79" s="111" t="s">
        <v>42</v>
      </c>
      <c r="W79" s="209" t="s">
        <v>34</v>
      </c>
      <c r="X79" s="152">
        <v>2</v>
      </c>
      <c r="Y79" s="213">
        <v>20</v>
      </c>
    </row>
    <row r="80" spans="1:25" ht="24.95" customHeight="1" thickBot="1" x14ac:dyDescent="0.35">
      <c r="A80" s="2">
        <v>1</v>
      </c>
      <c r="B80" s="28" t="s">
        <v>24</v>
      </c>
      <c r="C80" s="65" t="s">
        <v>32</v>
      </c>
      <c r="D80" s="75">
        <v>10</v>
      </c>
      <c r="E80" s="84">
        <v>12</v>
      </c>
      <c r="F80" s="258">
        <f>A80*10^6</f>
        <v>1000000</v>
      </c>
      <c r="G80" s="113" t="s">
        <v>7</v>
      </c>
      <c r="H80" s="112" t="s">
        <v>30</v>
      </c>
      <c r="I80" s="170">
        <v>10</v>
      </c>
      <c r="J80" s="227">
        <v>6</v>
      </c>
      <c r="K80" s="257">
        <f>A80*10^6/2^3</f>
        <v>125000</v>
      </c>
      <c r="L80" s="114" t="s">
        <v>8</v>
      </c>
      <c r="M80" s="115" t="s">
        <v>19</v>
      </c>
      <c r="N80" s="153">
        <v>10</v>
      </c>
      <c r="O80" s="214">
        <v>6</v>
      </c>
      <c r="P80" s="257">
        <f>A80/(2^3*2^20/10^12)</f>
        <v>119209.28955078125</v>
      </c>
      <c r="Q80" s="116" t="s">
        <v>9</v>
      </c>
      <c r="R80" s="210" t="s">
        <v>25</v>
      </c>
      <c r="S80" s="153">
        <v>2</v>
      </c>
      <c r="T80" s="214">
        <v>20</v>
      </c>
      <c r="U80" s="257">
        <f>A80/(2^20/10^12)</f>
        <v>953674.31640625</v>
      </c>
      <c r="V80" s="116" t="s">
        <v>42</v>
      </c>
      <c r="W80" s="210" t="s">
        <v>34</v>
      </c>
      <c r="X80" s="153">
        <v>2</v>
      </c>
      <c r="Y80" s="214">
        <v>20</v>
      </c>
    </row>
    <row r="81" spans="1:25" ht="24.95" customHeight="1" x14ac:dyDescent="0.3">
      <c r="A81" s="3">
        <v>1</v>
      </c>
      <c r="B81" s="27" t="s">
        <v>3</v>
      </c>
      <c r="C81" s="67" t="s">
        <v>29</v>
      </c>
      <c r="D81" s="77">
        <v>10</v>
      </c>
      <c r="E81" s="86">
        <v>3</v>
      </c>
      <c r="F81" s="256">
        <f>A81/10^6</f>
        <v>9.9999999999999995E-7</v>
      </c>
      <c r="G81" s="103" t="s">
        <v>10</v>
      </c>
      <c r="H81" s="102" t="s">
        <v>31</v>
      </c>
      <c r="I81" s="168">
        <v>10</v>
      </c>
      <c r="J81" s="225">
        <v>9</v>
      </c>
      <c r="K81" s="256">
        <f>A81/2^3/10^6</f>
        <v>1.2499999999999999E-7</v>
      </c>
      <c r="L81" s="104" t="s">
        <v>11</v>
      </c>
      <c r="M81" s="105" t="s">
        <v>20</v>
      </c>
      <c r="N81" s="151">
        <v>10</v>
      </c>
      <c r="O81" s="212">
        <v>9</v>
      </c>
      <c r="P81" s="294">
        <f>A81/(2^3*2^30/10^3)</f>
        <v>1.1641532182693481E-7</v>
      </c>
      <c r="Q81" s="106" t="s">
        <v>12</v>
      </c>
      <c r="R81" s="208" t="s">
        <v>27</v>
      </c>
      <c r="S81" s="151">
        <v>2</v>
      </c>
      <c r="T81" s="212">
        <v>30</v>
      </c>
      <c r="U81" s="294">
        <f>A81/(2^30/10^3)</f>
        <v>9.3132257461547852E-7</v>
      </c>
      <c r="V81" s="106" t="s">
        <v>43</v>
      </c>
      <c r="W81" s="208" t="s">
        <v>35</v>
      </c>
      <c r="X81" s="151">
        <v>2</v>
      </c>
      <c r="Y81" s="212">
        <v>30</v>
      </c>
    </row>
    <row r="82" spans="1:25" ht="24.95" customHeight="1" x14ac:dyDescent="0.3">
      <c r="A82" s="40">
        <v>1</v>
      </c>
      <c r="B82" s="41" t="s">
        <v>7</v>
      </c>
      <c r="C82" s="66" t="s">
        <v>30</v>
      </c>
      <c r="D82" s="76">
        <v>10</v>
      </c>
      <c r="E82" s="85">
        <v>6</v>
      </c>
      <c r="F82" s="257">
        <f>A82/10^3</f>
        <v>1E-3</v>
      </c>
      <c r="G82" s="108" t="s">
        <v>10</v>
      </c>
      <c r="H82" s="107" t="s">
        <v>31</v>
      </c>
      <c r="I82" s="169">
        <v>10</v>
      </c>
      <c r="J82" s="226">
        <v>9</v>
      </c>
      <c r="K82" s="257">
        <f>A82/2^3/10^3</f>
        <v>1.25E-4</v>
      </c>
      <c r="L82" s="109" t="s">
        <v>11</v>
      </c>
      <c r="M82" s="110" t="s">
        <v>20</v>
      </c>
      <c r="N82" s="152">
        <v>10</v>
      </c>
      <c r="O82" s="213">
        <v>9</v>
      </c>
      <c r="P82" s="295">
        <f>A82/(2^3*2^30/10^6)</f>
        <v>1.1641532182693481E-4</v>
      </c>
      <c r="Q82" s="111" t="s">
        <v>12</v>
      </c>
      <c r="R82" s="209" t="s">
        <v>27</v>
      </c>
      <c r="S82" s="152">
        <v>2</v>
      </c>
      <c r="T82" s="213">
        <v>30</v>
      </c>
      <c r="U82" s="257">
        <f>A82/(2^30/10^6)</f>
        <v>9.3132257461547852E-4</v>
      </c>
      <c r="V82" s="111" t="s">
        <v>43</v>
      </c>
      <c r="W82" s="209" t="s">
        <v>35</v>
      </c>
      <c r="X82" s="152">
        <v>2</v>
      </c>
      <c r="Y82" s="213">
        <v>30</v>
      </c>
    </row>
    <row r="83" spans="1:25" ht="24.95" customHeight="1" x14ac:dyDescent="0.3">
      <c r="A83" s="40">
        <v>1</v>
      </c>
      <c r="B83" s="41" t="s">
        <v>10</v>
      </c>
      <c r="C83" s="66" t="s">
        <v>31</v>
      </c>
      <c r="D83" s="76">
        <v>10</v>
      </c>
      <c r="E83" s="85">
        <v>9</v>
      </c>
      <c r="F83" s="257">
        <f>A83*10^0</f>
        <v>1</v>
      </c>
      <c r="G83" s="108" t="s">
        <v>10</v>
      </c>
      <c r="H83" s="107" t="s">
        <v>31</v>
      </c>
      <c r="I83" s="169">
        <v>10</v>
      </c>
      <c r="J83" s="226">
        <v>9</v>
      </c>
      <c r="K83" s="257">
        <f>A83/2^3</f>
        <v>0.125</v>
      </c>
      <c r="L83" s="109" t="s">
        <v>11</v>
      </c>
      <c r="M83" s="110" t="s">
        <v>20</v>
      </c>
      <c r="N83" s="152">
        <v>10</v>
      </c>
      <c r="O83" s="213">
        <v>9</v>
      </c>
      <c r="P83" s="296">
        <f>A83/(2^3*2^30/10^9)</f>
        <v>0.1164153218269348</v>
      </c>
      <c r="Q83" s="111" t="s">
        <v>12</v>
      </c>
      <c r="R83" s="209" t="s">
        <v>27</v>
      </c>
      <c r="S83" s="152">
        <v>2</v>
      </c>
      <c r="T83" s="213">
        <v>30</v>
      </c>
      <c r="U83" s="257">
        <f>A83/(2^30/10^9)</f>
        <v>0.9313225746154784</v>
      </c>
      <c r="V83" s="111" t="s">
        <v>43</v>
      </c>
      <c r="W83" s="209" t="s">
        <v>35</v>
      </c>
      <c r="X83" s="152">
        <v>2</v>
      </c>
      <c r="Y83" s="213">
        <v>30</v>
      </c>
    </row>
    <row r="84" spans="1:25" ht="24.95" customHeight="1" thickBot="1" x14ac:dyDescent="0.35">
      <c r="A84" s="2">
        <v>1</v>
      </c>
      <c r="B84" s="28" t="s">
        <v>24</v>
      </c>
      <c r="C84" s="65" t="s">
        <v>32</v>
      </c>
      <c r="D84" s="75">
        <v>10</v>
      </c>
      <c r="E84" s="84">
        <v>12</v>
      </c>
      <c r="F84" s="257">
        <f>A84*10^3</f>
        <v>1000</v>
      </c>
      <c r="G84" s="108" t="s">
        <v>10</v>
      </c>
      <c r="H84" s="107" t="s">
        <v>31</v>
      </c>
      <c r="I84" s="169">
        <v>10</v>
      </c>
      <c r="J84" s="226">
        <v>9</v>
      </c>
      <c r="K84" s="257">
        <f>A84*10^3/2^3</f>
        <v>125</v>
      </c>
      <c r="L84" s="109" t="s">
        <v>11</v>
      </c>
      <c r="M84" s="110" t="s">
        <v>20</v>
      </c>
      <c r="N84" s="152">
        <v>10</v>
      </c>
      <c r="O84" s="213">
        <v>9</v>
      </c>
      <c r="P84" s="297">
        <f>A84/(2^3*2^30/10^12)</f>
        <v>116.41532182693481</v>
      </c>
      <c r="Q84" s="111" t="s">
        <v>12</v>
      </c>
      <c r="R84" s="209" t="s">
        <v>27</v>
      </c>
      <c r="S84" s="152">
        <v>2</v>
      </c>
      <c r="T84" s="213">
        <v>30</v>
      </c>
      <c r="U84" s="257">
        <f>A84/(2^30/10^12)</f>
        <v>931.32257461547852</v>
      </c>
      <c r="V84" s="111" t="s">
        <v>43</v>
      </c>
      <c r="W84" s="209" t="s">
        <v>35</v>
      </c>
      <c r="X84" s="152">
        <v>2</v>
      </c>
      <c r="Y84" s="213">
        <v>30</v>
      </c>
    </row>
    <row r="85" spans="1:25" ht="24.95" customHeight="1" x14ac:dyDescent="0.3">
      <c r="A85" s="3">
        <v>1</v>
      </c>
      <c r="B85" s="27" t="s">
        <v>3</v>
      </c>
      <c r="C85" s="67" t="s">
        <v>29</v>
      </c>
      <c r="D85" s="77">
        <v>10</v>
      </c>
      <c r="E85" s="86">
        <v>3</v>
      </c>
      <c r="F85" s="256">
        <f>A85/10^9</f>
        <v>1.0000000000000001E-9</v>
      </c>
      <c r="G85" s="103" t="s">
        <v>24</v>
      </c>
      <c r="H85" s="102" t="s">
        <v>32</v>
      </c>
      <c r="I85" s="168">
        <v>10</v>
      </c>
      <c r="J85" s="225">
        <v>12</v>
      </c>
      <c r="K85" s="284">
        <f>A85/2^3/10^9</f>
        <v>1.2500000000000001E-10</v>
      </c>
      <c r="L85" s="104" t="s">
        <v>13</v>
      </c>
      <c r="M85" s="105" t="s">
        <v>22</v>
      </c>
      <c r="N85" s="151">
        <v>10</v>
      </c>
      <c r="O85" s="212">
        <v>12</v>
      </c>
      <c r="P85" s="298">
        <f>A85/(2^3*2^40/10^3)</f>
        <v>1.1368683772161603E-10</v>
      </c>
      <c r="Q85" s="106" t="s">
        <v>14</v>
      </c>
      <c r="R85" s="208" t="s">
        <v>28</v>
      </c>
      <c r="S85" s="151">
        <v>2</v>
      </c>
      <c r="T85" s="212">
        <v>40</v>
      </c>
      <c r="U85" s="298">
        <f>A85/(2^40/10^3)</f>
        <v>9.0949470177292824E-10</v>
      </c>
      <c r="V85" s="106" t="s">
        <v>44</v>
      </c>
      <c r="W85" s="208" t="s">
        <v>36</v>
      </c>
      <c r="X85" s="151">
        <v>2</v>
      </c>
      <c r="Y85" s="212">
        <v>40</v>
      </c>
    </row>
    <row r="86" spans="1:25" ht="24.95" customHeight="1" x14ac:dyDescent="0.3">
      <c r="A86" s="40">
        <v>1</v>
      </c>
      <c r="B86" s="41" t="s">
        <v>7</v>
      </c>
      <c r="C86" s="66" t="s">
        <v>30</v>
      </c>
      <c r="D86" s="76">
        <v>10</v>
      </c>
      <c r="E86" s="85">
        <v>6</v>
      </c>
      <c r="F86" s="257">
        <f>A86/10^6</f>
        <v>9.9999999999999995E-7</v>
      </c>
      <c r="G86" s="108" t="s">
        <v>24</v>
      </c>
      <c r="H86" s="107" t="s">
        <v>32</v>
      </c>
      <c r="I86" s="169">
        <v>10</v>
      </c>
      <c r="J86" s="226">
        <v>12</v>
      </c>
      <c r="K86" s="257">
        <f>A86/2^3/10^6</f>
        <v>1.2499999999999999E-7</v>
      </c>
      <c r="L86" s="109" t="s">
        <v>13</v>
      </c>
      <c r="M86" s="110" t="s">
        <v>22</v>
      </c>
      <c r="N86" s="152">
        <v>10</v>
      </c>
      <c r="O86" s="213">
        <v>12</v>
      </c>
      <c r="P86" s="299">
        <f>A86/(2^3*2^40/10^6)</f>
        <v>1.1368683772161603E-7</v>
      </c>
      <c r="Q86" s="111" t="s">
        <v>14</v>
      </c>
      <c r="R86" s="209" t="s">
        <v>28</v>
      </c>
      <c r="S86" s="152">
        <v>2</v>
      </c>
      <c r="T86" s="213">
        <v>40</v>
      </c>
      <c r="U86" s="299">
        <f>A86/(2^40/10^6)</f>
        <v>9.0949470177292824E-7</v>
      </c>
      <c r="V86" s="111" t="s">
        <v>44</v>
      </c>
      <c r="W86" s="209" t="s">
        <v>36</v>
      </c>
      <c r="X86" s="152">
        <v>2</v>
      </c>
      <c r="Y86" s="213">
        <v>40</v>
      </c>
    </row>
    <row r="87" spans="1:25" ht="24.95" customHeight="1" x14ac:dyDescent="0.3">
      <c r="A87" s="40">
        <v>1</v>
      </c>
      <c r="B87" s="41" t="s">
        <v>10</v>
      </c>
      <c r="C87" s="66" t="s">
        <v>31</v>
      </c>
      <c r="D87" s="76">
        <v>10</v>
      </c>
      <c r="E87" s="85">
        <v>9</v>
      </c>
      <c r="F87" s="257">
        <f>A87/10^3</f>
        <v>1E-3</v>
      </c>
      <c r="G87" s="108" t="s">
        <v>24</v>
      </c>
      <c r="H87" s="107" t="s">
        <v>32</v>
      </c>
      <c r="I87" s="169">
        <v>10</v>
      </c>
      <c r="J87" s="226">
        <v>12</v>
      </c>
      <c r="K87" s="257">
        <f>A87/2^3/10^3</f>
        <v>1.25E-4</v>
      </c>
      <c r="L87" s="109" t="s">
        <v>13</v>
      </c>
      <c r="M87" s="110" t="s">
        <v>22</v>
      </c>
      <c r="N87" s="152">
        <v>10</v>
      </c>
      <c r="O87" s="213">
        <v>12</v>
      </c>
      <c r="P87" s="295">
        <f>A87/(2^3*2^40/10^9)</f>
        <v>1.1368683772161602E-4</v>
      </c>
      <c r="Q87" s="111" t="s">
        <v>14</v>
      </c>
      <c r="R87" s="209" t="s">
        <v>28</v>
      </c>
      <c r="S87" s="152">
        <v>2</v>
      </c>
      <c r="T87" s="213">
        <v>40</v>
      </c>
      <c r="U87" s="257">
        <f>A87/(2^40/10^9)</f>
        <v>9.0949470177292813E-4</v>
      </c>
      <c r="V87" s="111" t="s">
        <v>44</v>
      </c>
      <c r="W87" s="209" t="s">
        <v>36</v>
      </c>
      <c r="X87" s="152">
        <v>2</v>
      </c>
      <c r="Y87" s="213">
        <v>40</v>
      </c>
    </row>
    <row r="88" spans="1:25" ht="24.95" customHeight="1" thickBot="1" x14ac:dyDescent="0.35">
      <c r="A88" s="4">
        <v>1</v>
      </c>
      <c r="B88" s="29" t="s">
        <v>24</v>
      </c>
      <c r="C88" s="68" t="s">
        <v>32</v>
      </c>
      <c r="D88" s="78">
        <v>10</v>
      </c>
      <c r="E88" s="87">
        <v>12</v>
      </c>
      <c r="F88" s="259">
        <f>A88*10^0</f>
        <v>1</v>
      </c>
      <c r="G88" s="118" t="s">
        <v>24</v>
      </c>
      <c r="H88" s="117" t="s">
        <v>32</v>
      </c>
      <c r="I88" s="171">
        <v>10</v>
      </c>
      <c r="J88" s="228">
        <v>12</v>
      </c>
      <c r="K88" s="259">
        <f>A88/2^3</f>
        <v>0.125</v>
      </c>
      <c r="L88" s="119" t="s">
        <v>13</v>
      </c>
      <c r="M88" s="120" t="s">
        <v>22</v>
      </c>
      <c r="N88" s="154">
        <v>10</v>
      </c>
      <c r="O88" s="215">
        <v>12</v>
      </c>
      <c r="P88" s="300">
        <f>A88/(2^3*2^40/10^12)</f>
        <v>0.11368683772161603</v>
      </c>
      <c r="Q88" s="121" t="s">
        <v>14</v>
      </c>
      <c r="R88" s="211" t="s">
        <v>28</v>
      </c>
      <c r="S88" s="154">
        <v>2</v>
      </c>
      <c r="T88" s="215">
        <v>40</v>
      </c>
      <c r="U88" s="259">
        <f>A88/(2^40/10^12)</f>
        <v>0.90949470177292824</v>
      </c>
      <c r="V88" s="121" t="s">
        <v>44</v>
      </c>
      <c r="W88" s="211" t="s">
        <v>36</v>
      </c>
      <c r="X88" s="154">
        <v>2</v>
      </c>
      <c r="Y88" s="215">
        <v>40</v>
      </c>
    </row>
    <row r="89" spans="1:25" ht="24.95" customHeight="1" thickBot="1" x14ac:dyDescent="0.35">
      <c r="A89" s="44"/>
      <c r="B89" s="45"/>
      <c r="C89" s="45"/>
      <c r="D89" s="81"/>
      <c r="E89" s="72"/>
      <c r="F89" s="81"/>
      <c r="G89" s="45"/>
      <c r="H89" s="45"/>
      <c r="I89" s="81"/>
      <c r="J89" s="71"/>
      <c r="K89" s="81"/>
      <c r="L89" s="45"/>
      <c r="M89" s="45"/>
      <c r="N89" s="81"/>
      <c r="O89" s="71"/>
      <c r="P89" s="81"/>
      <c r="Q89" s="45"/>
      <c r="R89" s="45"/>
      <c r="S89" s="81"/>
      <c r="T89" s="71"/>
      <c r="U89" s="314"/>
      <c r="V89" s="45"/>
      <c r="W89" s="45"/>
      <c r="X89" s="81"/>
      <c r="Y89" s="224"/>
    </row>
    <row r="90" spans="1:25" ht="24.95" customHeight="1" x14ac:dyDescent="0.3">
      <c r="A90" s="2">
        <v>1</v>
      </c>
      <c r="B90" s="28" t="s">
        <v>41</v>
      </c>
      <c r="C90" s="65" t="s">
        <v>33</v>
      </c>
      <c r="D90" s="77">
        <v>2</v>
      </c>
      <c r="E90" s="86">
        <v>10</v>
      </c>
      <c r="F90" s="260"/>
      <c r="G90" s="126"/>
      <c r="H90" s="216"/>
      <c r="I90" s="172"/>
      <c r="J90" s="229"/>
      <c r="K90" s="260">
        <f>A90*2^10</f>
        <v>1024</v>
      </c>
      <c r="L90" s="124" t="s">
        <v>1</v>
      </c>
      <c r="M90" s="125" t="s">
        <v>0</v>
      </c>
      <c r="N90" s="155"/>
      <c r="O90" s="220"/>
      <c r="P90" s="260"/>
      <c r="Q90" s="126"/>
      <c r="R90" s="216"/>
      <c r="S90" s="155"/>
      <c r="T90" s="220"/>
      <c r="U90" s="260"/>
      <c r="V90" s="124"/>
      <c r="W90" s="125"/>
      <c r="X90" s="155"/>
      <c r="Y90" s="220"/>
    </row>
    <row r="91" spans="1:25" ht="24.95" customHeight="1" x14ac:dyDescent="0.3">
      <c r="A91" s="40">
        <v>1</v>
      </c>
      <c r="B91" s="41" t="s">
        <v>42</v>
      </c>
      <c r="C91" s="66" t="s">
        <v>34</v>
      </c>
      <c r="D91" s="76">
        <v>2</v>
      </c>
      <c r="E91" s="85">
        <v>20</v>
      </c>
      <c r="F91" s="261"/>
      <c r="G91" s="131"/>
      <c r="H91" s="217"/>
      <c r="I91" s="173"/>
      <c r="J91" s="230"/>
      <c r="K91" s="261">
        <f>A91*2^20</f>
        <v>1048576</v>
      </c>
      <c r="L91" s="129" t="s">
        <v>1</v>
      </c>
      <c r="M91" s="130" t="s">
        <v>0</v>
      </c>
      <c r="N91" s="156"/>
      <c r="O91" s="221"/>
      <c r="P91" s="261"/>
      <c r="Q91" s="131"/>
      <c r="R91" s="217"/>
      <c r="S91" s="156"/>
      <c r="T91" s="221"/>
      <c r="U91" s="261"/>
      <c r="V91" s="129"/>
      <c r="W91" s="130"/>
      <c r="X91" s="156"/>
      <c r="Y91" s="221"/>
    </row>
    <row r="92" spans="1:25" ht="24.95" customHeight="1" x14ac:dyDescent="0.3">
      <c r="A92" s="40">
        <v>1</v>
      </c>
      <c r="B92" s="41" t="s">
        <v>43</v>
      </c>
      <c r="C92" s="66" t="s">
        <v>35</v>
      </c>
      <c r="D92" s="76">
        <v>2</v>
      </c>
      <c r="E92" s="85">
        <v>30</v>
      </c>
      <c r="F92" s="261"/>
      <c r="G92" s="131"/>
      <c r="H92" s="217"/>
      <c r="I92" s="173"/>
      <c r="J92" s="230"/>
      <c r="K92" s="261">
        <f>A92*2^30</f>
        <v>1073741824</v>
      </c>
      <c r="L92" s="129" t="s">
        <v>1</v>
      </c>
      <c r="M92" s="130" t="s">
        <v>0</v>
      </c>
      <c r="N92" s="156"/>
      <c r="O92" s="221"/>
      <c r="P92" s="261"/>
      <c r="Q92" s="131"/>
      <c r="R92" s="217"/>
      <c r="S92" s="156"/>
      <c r="T92" s="221"/>
      <c r="U92" s="261"/>
      <c r="V92" s="129"/>
      <c r="W92" s="130"/>
      <c r="X92" s="156"/>
      <c r="Y92" s="221"/>
    </row>
    <row r="93" spans="1:25" ht="24.95" customHeight="1" thickBot="1" x14ac:dyDescent="0.35">
      <c r="A93" s="2">
        <v>1</v>
      </c>
      <c r="B93" s="28" t="s">
        <v>44</v>
      </c>
      <c r="C93" s="65" t="s">
        <v>36</v>
      </c>
      <c r="D93" s="75">
        <v>2</v>
      </c>
      <c r="E93" s="84">
        <v>40</v>
      </c>
      <c r="F93" s="261"/>
      <c r="G93" s="131"/>
      <c r="H93" s="217"/>
      <c r="I93" s="173"/>
      <c r="J93" s="230"/>
      <c r="K93" s="285">
        <f>A93*2^40</f>
        <v>1099511627776</v>
      </c>
      <c r="L93" s="129" t="s">
        <v>1</v>
      </c>
      <c r="M93" s="130" t="s">
        <v>0</v>
      </c>
      <c r="N93" s="156"/>
      <c r="O93" s="221"/>
      <c r="P93" s="261"/>
      <c r="Q93" s="131"/>
      <c r="R93" s="217"/>
      <c r="S93" s="156"/>
      <c r="T93" s="221"/>
      <c r="U93" s="261"/>
      <c r="V93" s="129"/>
      <c r="W93" s="130"/>
      <c r="X93" s="156"/>
      <c r="Y93" s="221"/>
    </row>
    <row r="94" spans="1:25" ht="24.95" customHeight="1" x14ac:dyDescent="0.3">
      <c r="A94" s="3">
        <v>1</v>
      </c>
      <c r="B94" s="39" t="s">
        <v>41</v>
      </c>
      <c r="C94" s="67" t="s">
        <v>33</v>
      </c>
      <c r="D94" s="77">
        <v>2</v>
      </c>
      <c r="E94" s="86">
        <v>10</v>
      </c>
      <c r="F94" s="260"/>
      <c r="G94" s="123"/>
      <c r="H94" s="122"/>
      <c r="I94" s="172"/>
      <c r="J94" s="229"/>
      <c r="K94" s="260">
        <f>A94*2^10/2^3</f>
        <v>128</v>
      </c>
      <c r="L94" s="124" t="s">
        <v>2</v>
      </c>
      <c r="M94" s="125" t="s">
        <v>17</v>
      </c>
      <c r="N94" s="155">
        <v>2</v>
      </c>
      <c r="O94" s="220">
        <v>3</v>
      </c>
      <c r="P94" s="260"/>
      <c r="Q94" s="126"/>
      <c r="R94" s="216"/>
      <c r="S94" s="155"/>
      <c r="T94" s="220"/>
      <c r="U94" s="260"/>
      <c r="V94" s="126"/>
      <c r="W94" s="216"/>
      <c r="X94" s="155"/>
      <c r="Y94" s="220"/>
    </row>
    <row r="95" spans="1:25" ht="24.95" customHeight="1" x14ac:dyDescent="0.3">
      <c r="A95" s="40">
        <v>1</v>
      </c>
      <c r="B95" s="41" t="s">
        <v>42</v>
      </c>
      <c r="C95" s="66" t="s">
        <v>34</v>
      </c>
      <c r="D95" s="76">
        <v>2</v>
      </c>
      <c r="E95" s="85">
        <v>20</v>
      </c>
      <c r="F95" s="261"/>
      <c r="G95" s="128"/>
      <c r="H95" s="127"/>
      <c r="I95" s="173"/>
      <c r="J95" s="230"/>
      <c r="K95" s="261">
        <f>A95*2^20/2^3</f>
        <v>131072</v>
      </c>
      <c r="L95" s="129" t="s">
        <v>2</v>
      </c>
      <c r="M95" s="130" t="s">
        <v>17</v>
      </c>
      <c r="N95" s="156">
        <v>2</v>
      </c>
      <c r="O95" s="221">
        <v>3</v>
      </c>
      <c r="P95" s="261"/>
      <c r="Q95" s="131"/>
      <c r="R95" s="217"/>
      <c r="S95" s="156"/>
      <c r="T95" s="221"/>
      <c r="U95" s="261"/>
      <c r="V95" s="131"/>
      <c r="W95" s="217"/>
      <c r="X95" s="156"/>
      <c r="Y95" s="221"/>
    </row>
    <row r="96" spans="1:25" ht="24.95" customHeight="1" x14ac:dyDescent="0.3">
      <c r="A96" s="40">
        <v>1</v>
      </c>
      <c r="B96" s="41" t="s">
        <v>43</v>
      </c>
      <c r="C96" s="66" t="s">
        <v>35</v>
      </c>
      <c r="D96" s="76">
        <v>2</v>
      </c>
      <c r="E96" s="85">
        <v>30</v>
      </c>
      <c r="F96" s="261"/>
      <c r="G96" s="128"/>
      <c r="H96" s="127"/>
      <c r="I96" s="173"/>
      <c r="J96" s="230"/>
      <c r="K96" s="261">
        <f>A96*2^30/2^3</f>
        <v>134217728</v>
      </c>
      <c r="L96" s="129" t="s">
        <v>2</v>
      </c>
      <c r="M96" s="130" t="s">
        <v>17</v>
      </c>
      <c r="N96" s="156">
        <v>2</v>
      </c>
      <c r="O96" s="221">
        <v>3</v>
      </c>
      <c r="P96" s="261"/>
      <c r="Q96" s="131"/>
      <c r="R96" s="217"/>
      <c r="S96" s="156"/>
      <c r="T96" s="221"/>
      <c r="U96" s="261"/>
      <c r="V96" s="131"/>
      <c r="W96" s="217"/>
      <c r="X96" s="156"/>
      <c r="Y96" s="221"/>
    </row>
    <row r="97" spans="1:25" ht="24.95" customHeight="1" thickBot="1" x14ac:dyDescent="0.35">
      <c r="A97" s="2">
        <v>1</v>
      </c>
      <c r="B97" s="28" t="s">
        <v>44</v>
      </c>
      <c r="C97" s="68" t="s">
        <v>36</v>
      </c>
      <c r="D97" s="75">
        <v>2</v>
      </c>
      <c r="E97" s="84">
        <v>40</v>
      </c>
      <c r="F97" s="262"/>
      <c r="G97" s="133"/>
      <c r="H97" s="132"/>
      <c r="I97" s="174"/>
      <c r="J97" s="231"/>
      <c r="K97" s="286">
        <f>A97*2^40/2^3</f>
        <v>137438953472</v>
      </c>
      <c r="L97" s="134" t="s">
        <v>2</v>
      </c>
      <c r="M97" s="135" t="s">
        <v>17</v>
      </c>
      <c r="N97" s="157">
        <v>2</v>
      </c>
      <c r="O97" s="222">
        <v>3</v>
      </c>
      <c r="P97" s="261"/>
      <c r="Q97" s="136"/>
      <c r="R97" s="218"/>
      <c r="S97" s="157"/>
      <c r="T97" s="222"/>
      <c r="U97" s="261"/>
      <c r="V97" s="136"/>
      <c r="W97" s="218"/>
      <c r="X97" s="157"/>
      <c r="Y97" s="222"/>
    </row>
    <row r="98" spans="1:25" ht="24.95" customHeight="1" x14ac:dyDescent="0.3">
      <c r="A98" s="3">
        <v>1</v>
      </c>
      <c r="B98" s="39" t="s">
        <v>41</v>
      </c>
      <c r="C98" s="65" t="s">
        <v>33</v>
      </c>
      <c r="D98" s="77">
        <v>2</v>
      </c>
      <c r="E98" s="86">
        <v>10</v>
      </c>
      <c r="F98" s="260">
        <f>A98*2^0</f>
        <v>1</v>
      </c>
      <c r="G98" s="126" t="s">
        <v>41</v>
      </c>
      <c r="H98" s="216" t="s">
        <v>4</v>
      </c>
      <c r="I98" s="172">
        <v>2</v>
      </c>
      <c r="J98" s="229">
        <v>10</v>
      </c>
      <c r="K98" s="260">
        <f>A98*(2^10/10^3)/2^3</f>
        <v>0.128</v>
      </c>
      <c r="L98" s="124" t="s">
        <v>5</v>
      </c>
      <c r="M98" s="125" t="s">
        <v>18</v>
      </c>
      <c r="N98" s="155">
        <v>10</v>
      </c>
      <c r="O98" s="220">
        <v>3</v>
      </c>
      <c r="P98" s="260">
        <f>A98/2^3</f>
        <v>0.125</v>
      </c>
      <c r="Q98" s="126" t="s">
        <v>6</v>
      </c>
      <c r="R98" s="216" t="s">
        <v>26</v>
      </c>
      <c r="S98" s="155">
        <v>2</v>
      </c>
      <c r="T98" s="220">
        <v>10</v>
      </c>
      <c r="U98" s="260">
        <f>A98*(2^10/10^3)</f>
        <v>1.024</v>
      </c>
      <c r="V98" s="126" t="s">
        <v>37</v>
      </c>
      <c r="W98" s="216" t="s">
        <v>29</v>
      </c>
      <c r="X98" s="155">
        <v>10</v>
      </c>
      <c r="Y98" s="220">
        <v>3</v>
      </c>
    </row>
    <row r="99" spans="1:25" ht="24.95" customHeight="1" x14ac:dyDescent="0.3">
      <c r="A99" s="40">
        <v>1</v>
      </c>
      <c r="B99" s="41" t="s">
        <v>42</v>
      </c>
      <c r="C99" s="66" t="s">
        <v>34</v>
      </c>
      <c r="D99" s="76">
        <v>2</v>
      </c>
      <c r="E99" s="85">
        <v>20</v>
      </c>
      <c r="F99" s="261">
        <f>A99*2^10</f>
        <v>1024</v>
      </c>
      <c r="G99" s="131" t="s">
        <v>41</v>
      </c>
      <c r="H99" s="217" t="s">
        <v>4</v>
      </c>
      <c r="I99" s="173">
        <v>2</v>
      </c>
      <c r="J99" s="230">
        <v>10</v>
      </c>
      <c r="K99" s="261">
        <f>A99*(2^20/10^3)/2^3</f>
        <v>131.072</v>
      </c>
      <c r="L99" s="129" t="s">
        <v>5</v>
      </c>
      <c r="M99" s="130" t="s">
        <v>18</v>
      </c>
      <c r="N99" s="156">
        <v>10</v>
      </c>
      <c r="O99" s="221">
        <v>3</v>
      </c>
      <c r="P99" s="261">
        <f>A99*(2^10/2^3)</f>
        <v>128</v>
      </c>
      <c r="Q99" s="131" t="s">
        <v>6</v>
      </c>
      <c r="R99" s="217" t="s">
        <v>26</v>
      </c>
      <c r="S99" s="156">
        <v>2</v>
      </c>
      <c r="T99" s="221">
        <v>10</v>
      </c>
      <c r="U99" s="261">
        <f>A99*(2^20/10^3)</f>
        <v>1048.576</v>
      </c>
      <c r="V99" s="131" t="s">
        <v>37</v>
      </c>
      <c r="W99" s="217" t="s">
        <v>29</v>
      </c>
      <c r="X99" s="156">
        <v>10</v>
      </c>
      <c r="Y99" s="221">
        <v>3</v>
      </c>
    </row>
    <row r="100" spans="1:25" ht="24.95" customHeight="1" x14ac:dyDescent="0.3">
      <c r="A100" s="40">
        <v>1</v>
      </c>
      <c r="B100" s="41" t="s">
        <v>43</v>
      </c>
      <c r="C100" s="66" t="s">
        <v>35</v>
      </c>
      <c r="D100" s="76">
        <v>2</v>
      </c>
      <c r="E100" s="85">
        <v>30</v>
      </c>
      <c r="F100" s="261">
        <f>A100*2^20</f>
        <v>1048576</v>
      </c>
      <c r="G100" s="131" t="s">
        <v>41</v>
      </c>
      <c r="H100" s="217" t="s">
        <v>4</v>
      </c>
      <c r="I100" s="173">
        <v>2</v>
      </c>
      <c r="J100" s="230">
        <v>10</v>
      </c>
      <c r="K100" s="261">
        <f>A100*(2^30/10^3)/2^3</f>
        <v>134217.728</v>
      </c>
      <c r="L100" s="129" t="s">
        <v>5</v>
      </c>
      <c r="M100" s="130" t="s">
        <v>18</v>
      </c>
      <c r="N100" s="156">
        <v>10</v>
      </c>
      <c r="O100" s="221">
        <v>3</v>
      </c>
      <c r="P100" s="261">
        <f>A100*(2^20/2^3)</f>
        <v>131072</v>
      </c>
      <c r="Q100" s="131" t="s">
        <v>6</v>
      </c>
      <c r="R100" s="217" t="s">
        <v>26</v>
      </c>
      <c r="S100" s="156">
        <v>2</v>
      </c>
      <c r="T100" s="221">
        <v>10</v>
      </c>
      <c r="U100" s="318">
        <f>A100*(2^30/10^3)</f>
        <v>1073741.824</v>
      </c>
      <c r="V100" s="131" t="s">
        <v>37</v>
      </c>
      <c r="W100" s="217" t="s">
        <v>29</v>
      </c>
      <c r="X100" s="156">
        <v>10</v>
      </c>
      <c r="Y100" s="221">
        <v>3</v>
      </c>
    </row>
    <row r="101" spans="1:25" ht="24.95" customHeight="1" thickBot="1" x14ac:dyDescent="0.35">
      <c r="A101" s="2">
        <v>1</v>
      </c>
      <c r="B101" s="28" t="s">
        <v>44</v>
      </c>
      <c r="C101" s="65" t="s">
        <v>36</v>
      </c>
      <c r="D101" s="75">
        <v>2</v>
      </c>
      <c r="E101" s="84">
        <v>40</v>
      </c>
      <c r="F101" s="261">
        <f>A101*2^30</f>
        <v>1073741824</v>
      </c>
      <c r="G101" s="131" t="s">
        <v>41</v>
      </c>
      <c r="H101" s="217" t="s">
        <v>4</v>
      </c>
      <c r="I101" s="173">
        <v>2</v>
      </c>
      <c r="J101" s="230">
        <v>10</v>
      </c>
      <c r="K101" s="261">
        <f>A101*(2^40/10^3)/2^3</f>
        <v>137438953.472</v>
      </c>
      <c r="L101" s="129" t="s">
        <v>5</v>
      </c>
      <c r="M101" s="130" t="s">
        <v>18</v>
      </c>
      <c r="N101" s="156">
        <v>10</v>
      </c>
      <c r="O101" s="221">
        <v>3</v>
      </c>
      <c r="P101" s="261">
        <f>A101*(2^30/2^3)</f>
        <v>134217728</v>
      </c>
      <c r="Q101" s="136" t="s">
        <v>6</v>
      </c>
      <c r="R101" s="218" t="s">
        <v>26</v>
      </c>
      <c r="S101" s="156">
        <v>2</v>
      </c>
      <c r="T101" s="221">
        <v>10</v>
      </c>
      <c r="U101" s="261">
        <f>A101*(2^40/10^3)</f>
        <v>1099511627.776</v>
      </c>
      <c r="V101" s="136" t="s">
        <v>37</v>
      </c>
      <c r="W101" s="218" t="s">
        <v>29</v>
      </c>
      <c r="X101" s="156">
        <v>10</v>
      </c>
      <c r="Y101" s="221">
        <v>3</v>
      </c>
    </row>
    <row r="102" spans="1:25" ht="24.95" customHeight="1" x14ac:dyDescent="0.3">
      <c r="A102" s="3">
        <v>1</v>
      </c>
      <c r="B102" s="27" t="s">
        <v>41</v>
      </c>
      <c r="C102" s="67" t="s">
        <v>33</v>
      </c>
      <c r="D102" s="77">
        <v>2</v>
      </c>
      <c r="E102" s="86">
        <v>10</v>
      </c>
      <c r="F102" s="260">
        <f>A102/2^10</f>
        <v>9.765625E-4</v>
      </c>
      <c r="G102" s="126" t="s">
        <v>42</v>
      </c>
      <c r="H102" s="216" t="s">
        <v>34</v>
      </c>
      <c r="I102" s="172">
        <v>2</v>
      </c>
      <c r="J102" s="229">
        <v>20</v>
      </c>
      <c r="K102" s="260">
        <f>A102*(2^10/10^6)/2^3</f>
        <v>1.2799999999999999E-4</v>
      </c>
      <c r="L102" s="124" t="s">
        <v>8</v>
      </c>
      <c r="M102" s="125" t="s">
        <v>19</v>
      </c>
      <c r="N102" s="155">
        <v>10</v>
      </c>
      <c r="O102" s="220">
        <v>6</v>
      </c>
      <c r="P102" s="260">
        <f>A102/2^3/2^10</f>
        <v>1.220703125E-4</v>
      </c>
      <c r="Q102" s="126" t="s">
        <v>9</v>
      </c>
      <c r="R102" s="216" t="s">
        <v>25</v>
      </c>
      <c r="S102" s="155">
        <v>2</v>
      </c>
      <c r="T102" s="220">
        <v>20</v>
      </c>
      <c r="U102" s="260">
        <f>A102*(2^10/10^6)</f>
        <v>1.024E-3</v>
      </c>
      <c r="V102" s="126" t="s">
        <v>38</v>
      </c>
      <c r="W102" s="216" t="s">
        <v>30</v>
      </c>
      <c r="X102" s="155">
        <v>10</v>
      </c>
      <c r="Y102" s="220">
        <v>6</v>
      </c>
    </row>
    <row r="103" spans="1:25" ht="24.95" customHeight="1" x14ac:dyDescent="0.3">
      <c r="A103" s="40">
        <v>1</v>
      </c>
      <c r="B103" s="41" t="s">
        <v>42</v>
      </c>
      <c r="C103" s="66" t="s">
        <v>34</v>
      </c>
      <c r="D103" s="76">
        <v>2</v>
      </c>
      <c r="E103" s="85">
        <v>20</v>
      </c>
      <c r="F103" s="261">
        <f>A103*2^0</f>
        <v>1</v>
      </c>
      <c r="G103" s="131" t="s">
        <v>42</v>
      </c>
      <c r="H103" s="217" t="s">
        <v>34</v>
      </c>
      <c r="I103" s="173">
        <v>2</v>
      </c>
      <c r="J103" s="230">
        <v>20</v>
      </c>
      <c r="K103" s="261">
        <f>A103*(2^20/10^6)/2^3</f>
        <v>0.13107199999999999</v>
      </c>
      <c r="L103" s="129" t="s">
        <v>8</v>
      </c>
      <c r="M103" s="130" t="s">
        <v>19</v>
      </c>
      <c r="N103" s="156">
        <v>10</v>
      </c>
      <c r="O103" s="221">
        <v>6</v>
      </c>
      <c r="P103" s="261">
        <f>A103/2^3</f>
        <v>0.125</v>
      </c>
      <c r="Q103" s="131" t="s">
        <v>9</v>
      </c>
      <c r="R103" s="217" t="s">
        <v>25</v>
      </c>
      <c r="S103" s="156">
        <v>2</v>
      </c>
      <c r="T103" s="221">
        <v>20</v>
      </c>
      <c r="U103" s="261">
        <f>A103*(2^20/10^6)</f>
        <v>1.048576</v>
      </c>
      <c r="V103" s="131" t="s">
        <v>38</v>
      </c>
      <c r="W103" s="217" t="s">
        <v>30</v>
      </c>
      <c r="X103" s="156">
        <v>10</v>
      </c>
      <c r="Y103" s="221">
        <v>6</v>
      </c>
    </row>
    <row r="104" spans="1:25" ht="24.95" customHeight="1" x14ac:dyDescent="0.3">
      <c r="A104" s="40">
        <v>1</v>
      </c>
      <c r="B104" s="41" t="s">
        <v>43</v>
      </c>
      <c r="C104" s="66" t="s">
        <v>35</v>
      </c>
      <c r="D104" s="76">
        <v>2</v>
      </c>
      <c r="E104" s="85">
        <v>30</v>
      </c>
      <c r="F104" s="261">
        <f>A104*2^10</f>
        <v>1024</v>
      </c>
      <c r="G104" s="131" t="s">
        <v>42</v>
      </c>
      <c r="H104" s="217" t="s">
        <v>34</v>
      </c>
      <c r="I104" s="173">
        <v>2</v>
      </c>
      <c r="J104" s="230">
        <v>20</v>
      </c>
      <c r="K104" s="261">
        <f>A104*(2^30/10^6)/2^3</f>
        <v>134.21772799999999</v>
      </c>
      <c r="L104" s="129" t="s">
        <v>8</v>
      </c>
      <c r="M104" s="130" t="s">
        <v>19</v>
      </c>
      <c r="N104" s="156">
        <v>10</v>
      </c>
      <c r="O104" s="221">
        <v>6</v>
      </c>
      <c r="P104" s="261">
        <f>A104*(2^10/2^3)</f>
        <v>128</v>
      </c>
      <c r="Q104" s="131" t="s">
        <v>9</v>
      </c>
      <c r="R104" s="217" t="s">
        <v>25</v>
      </c>
      <c r="S104" s="156">
        <v>2</v>
      </c>
      <c r="T104" s="221">
        <v>20</v>
      </c>
      <c r="U104" s="261">
        <f>A104*(2^30/10^6)</f>
        <v>1073.741824</v>
      </c>
      <c r="V104" s="131" t="s">
        <v>38</v>
      </c>
      <c r="W104" s="217" t="s">
        <v>30</v>
      </c>
      <c r="X104" s="156">
        <v>10</v>
      </c>
      <c r="Y104" s="221">
        <v>6</v>
      </c>
    </row>
    <row r="105" spans="1:25" ht="24.95" customHeight="1" thickBot="1" x14ac:dyDescent="0.35">
      <c r="A105" s="2">
        <v>1</v>
      </c>
      <c r="B105" s="29" t="s">
        <v>44</v>
      </c>
      <c r="C105" s="68" t="s">
        <v>36</v>
      </c>
      <c r="D105" s="75">
        <v>2</v>
      </c>
      <c r="E105" s="84">
        <v>40</v>
      </c>
      <c r="F105" s="262">
        <f>A105*2^20</f>
        <v>1048576</v>
      </c>
      <c r="G105" s="131" t="s">
        <v>42</v>
      </c>
      <c r="H105" s="217" t="s">
        <v>34</v>
      </c>
      <c r="I105" s="174">
        <v>2</v>
      </c>
      <c r="J105" s="231">
        <v>20</v>
      </c>
      <c r="K105" s="261">
        <f>A105*(2^40/10^6)/2^3</f>
        <v>137438.95347199999</v>
      </c>
      <c r="L105" s="134" t="s">
        <v>8</v>
      </c>
      <c r="M105" s="135" t="s">
        <v>19</v>
      </c>
      <c r="N105" s="157">
        <v>10</v>
      </c>
      <c r="O105" s="222">
        <v>6</v>
      </c>
      <c r="P105" s="261">
        <f>A105*(2^20/2^3)</f>
        <v>131072</v>
      </c>
      <c r="Q105" s="136" t="s">
        <v>9</v>
      </c>
      <c r="R105" s="218" t="s">
        <v>25</v>
      </c>
      <c r="S105" s="157">
        <v>2</v>
      </c>
      <c r="T105" s="222">
        <v>20</v>
      </c>
      <c r="U105" s="261">
        <f>A105*(2^40/10^6)</f>
        <v>1099511.627776</v>
      </c>
      <c r="V105" s="136" t="s">
        <v>38</v>
      </c>
      <c r="W105" s="218" t="s">
        <v>30</v>
      </c>
      <c r="X105" s="157">
        <v>10</v>
      </c>
      <c r="Y105" s="222">
        <v>6</v>
      </c>
    </row>
    <row r="106" spans="1:25" ht="24.95" customHeight="1" x14ac:dyDescent="0.3">
      <c r="A106" s="3">
        <v>1</v>
      </c>
      <c r="B106" s="28" t="s">
        <v>41</v>
      </c>
      <c r="C106" s="65" t="s">
        <v>33</v>
      </c>
      <c r="D106" s="77">
        <v>2</v>
      </c>
      <c r="E106" s="86">
        <v>10</v>
      </c>
      <c r="F106" s="263">
        <f>A106/2^20</f>
        <v>9.5367431640625E-7</v>
      </c>
      <c r="G106" s="126" t="s">
        <v>43</v>
      </c>
      <c r="H106" s="216" t="s">
        <v>35</v>
      </c>
      <c r="I106" s="172">
        <v>2</v>
      </c>
      <c r="J106" s="229">
        <v>30</v>
      </c>
      <c r="K106" s="260">
        <f>A106*(2^10/10^9)/2^3</f>
        <v>1.2800000000000001E-7</v>
      </c>
      <c r="L106" s="124" t="s">
        <v>11</v>
      </c>
      <c r="M106" s="125" t="s">
        <v>20</v>
      </c>
      <c r="N106" s="155">
        <v>10</v>
      </c>
      <c r="O106" s="220">
        <v>9</v>
      </c>
      <c r="P106" s="301">
        <f>A106/2^3/2^20</f>
        <v>1.1920928955078125E-7</v>
      </c>
      <c r="Q106" s="126" t="s">
        <v>12</v>
      </c>
      <c r="R106" s="216" t="s">
        <v>27</v>
      </c>
      <c r="S106" s="155">
        <v>2</v>
      </c>
      <c r="T106" s="220">
        <v>30</v>
      </c>
      <c r="U106" s="260">
        <f>A106*(2^10/10^9)</f>
        <v>1.0240000000000001E-6</v>
      </c>
      <c r="V106" s="126" t="s">
        <v>39</v>
      </c>
      <c r="W106" s="216" t="s">
        <v>31</v>
      </c>
      <c r="X106" s="155">
        <v>10</v>
      </c>
      <c r="Y106" s="220">
        <v>9</v>
      </c>
    </row>
    <row r="107" spans="1:25" ht="24.95" customHeight="1" x14ac:dyDescent="0.3">
      <c r="A107" s="40">
        <v>1</v>
      </c>
      <c r="B107" s="41" t="s">
        <v>42</v>
      </c>
      <c r="C107" s="66" t="s">
        <v>34</v>
      </c>
      <c r="D107" s="76">
        <v>2</v>
      </c>
      <c r="E107" s="85">
        <v>20</v>
      </c>
      <c r="F107" s="261">
        <f>A107/2^10</f>
        <v>9.765625E-4</v>
      </c>
      <c r="G107" s="131" t="s">
        <v>43</v>
      </c>
      <c r="H107" s="217" t="s">
        <v>35</v>
      </c>
      <c r="I107" s="173">
        <v>2</v>
      </c>
      <c r="J107" s="230">
        <v>30</v>
      </c>
      <c r="K107" s="261">
        <f>A107*(2^20/10^9)/2^3</f>
        <v>1.3107200000000001E-4</v>
      </c>
      <c r="L107" s="129" t="s">
        <v>11</v>
      </c>
      <c r="M107" s="130" t="s">
        <v>20</v>
      </c>
      <c r="N107" s="156">
        <v>10</v>
      </c>
      <c r="O107" s="221">
        <v>9</v>
      </c>
      <c r="P107" s="261">
        <f>A107/2^3/2^10</f>
        <v>1.220703125E-4</v>
      </c>
      <c r="Q107" s="131" t="s">
        <v>12</v>
      </c>
      <c r="R107" s="217" t="s">
        <v>27</v>
      </c>
      <c r="S107" s="156">
        <v>2</v>
      </c>
      <c r="T107" s="221">
        <v>30</v>
      </c>
      <c r="U107" s="261">
        <f>A107*(2^20/10^9)</f>
        <v>1.0485760000000001E-3</v>
      </c>
      <c r="V107" s="131" t="s">
        <v>39</v>
      </c>
      <c r="W107" s="217" t="s">
        <v>31</v>
      </c>
      <c r="X107" s="156">
        <v>10</v>
      </c>
      <c r="Y107" s="221">
        <v>9</v>
      </c>
    </row>
    <row r="108" spans="1:25" ht="24.95" customHeight="1" x14ac:dyDescent="0.3">
      <c r="A108" s="40">
        <v>1</v>
      </c>
      <c r="B108" s="41" t="s">
        <v>43</v>
      </c>
      <c r="C108" s="66" t="s">
        <v>35</v>
      </c>
      <c r="D108" s="76">
        <v>2</v>
      </c>
      <c r="E108" s="85">
        <v>30</v>
      </c>
      <c r="F108" s="261">
        <f>A108*2^0</f>
        <v>1</v>
      </c>
      <c r="G108" s="131" t="s">
        <v>43</v>
      </c>
      <c r="H108" s="217" t="s">
        <v>35</v>
      </c>
      <c r="I108" s="173">
        <v>2</v>
      </c>
      <c r="J108" s="230">
        <v>30</v>
      </c>
      <c r="K108" s="261">
        <f>A108*(2^30/10^9)/2^3</f>
        <v>0.13421772800000001</v>
      </c>
      <c r="L108" s="129" t="s">
        <v>11</v>
      </c>
      <c r="M108" s="130" t="s">
        <v>20</v>
      </c>
      <c r="N108" s="156">
        <v>10</v>
      </c>
      <c r="O108" s="221">
        <v>9</v>
      </c>
      <c r="P108" s="261">
        <f>A108/2^3</f>
        <v>0.125</v>
      </c>
      <c r="Q108" s="131" t="s">
        <v>12</v>
      </c>
      <c r="R108" s="217" t="s">
        <v>27</v>
      </c>
      <c r="S108" s="156">
        <v>2</v>
      </c>
      <c r="T108" s="221">
        <v>30</v>
      </c>
      <c r="U108" s="261">
        <f>A108*(2^30/10^9)</f>
        <v>1.0737418240000001</v>
      </c>
      <c r="V108" s="131" t="s">
        <v>39</v>
      </c>
      <c r="W108" s="217" t="s">
        <v>31</v>
      </c>
      <c r="X108" s="156">
        <v>10</v>
      </c>
      <c r="Y108" s="221">
        <v>9</v>
      </c>
    </row>
    <row r="109" spans="1:25" ht="24.95" customHeight="1" thickBot="1" x14ac:dyDescent="0.35">
      <c r="A109" s="2">
        <v>1</v>
      </c>
      <c r="B109" s="28" t="s">
        <v>44</v>
      </c>
      <c r="C109" s="65" t="s">
        <v>36</v>
      </c>
      <c r="D109" s="75">
        <v>2</v>
      </c>
      <c r="E109" s="84">
        <v>40</v>
      </c>
      <c r="F109" s="261">
        <f>A109*2^10</f>
        <v>1024</v>
      </c>
      <c r="G109" s="131" t="s">
        <v>43</v>
      </c>
      <c r="H109" s="217" t="s">
        <v>35</v>
      </c>
      <c r="I109" s="173">
        <v>2</v>
      </c>
      <c r="J109" s="230">
        <v>30</v>
      </c>
      <c r="K109" s="266">
        <f>A109*(2^40/10^9)/2^3</f>
        <v>137.43895347200001</v>
      </c>
      <c r="L109" s="129" t="s">
        <v>11</v>
      </c>
      <c r="M109" s="130" t="s">
        <v>20</v>
      </c>
      <c r="N109" s="156">
        <v>10</v>
      </c>
      <c r="O109" s="221">
        <v>9</v>
      </c>
      <c r="P109" s="261">
        <f>A109*(2^10/2^3)</f>
        <v>128</v>
      </c>
      <c r="Q109" s="131" t="s">
        <v>12</v>
      </c>
      <c r="R109" s="217" t="s">
        <v>27</v>
      </c>
      <c r="S109" s="156">
        <v>2</v>
      </c>
      <c r="T109" s="221">
        <v>30</v>
      </c>
      <c r="U109" s="261">
        <f>A109*(2^40/10^9)</f>
        <v>1099.5116277760001</v>
      </c>
      <c r="V109" s="136" t="s">
        <v>39</v>
      </c>
      <c r="W109" s="218" t="s">
        <v>31</v>
      </c>
      <c r="X109" s="156">
        <v>10</v>
      </c>
      <c r="Y109" s="221">
        <v>9</v>
      </c>
    </row>
    <row r="110" spans="1:25" ht="24.95" customHeight="1" x14ac:dyDescent="0.3">
      <c r="A110" s="3">
        <v>1</v>
      </c>
      <c r="B110" s="27" t="s">
        <v>41</v>
      </c>
      <c r="C110" s="67" t="s">
        <v>33</v>
      </c>
      <c r="D110" s="77">
        <v>2</v>
      </c>
      <c r="E110" s="86">
        <v>10</v>
      </c>
      <c r="F110" s="264">
        <f>A110/2^30</f>
        <v>9.3132257461547852E-10</v>
      </c>
      <c r="G110" s="126" t="s">
        <v>44</v>
      </c>
      <c r="H110" s="216" t="s">
        <v>36</v>
      </c>
      <c r="I110" s="172">
        <v>2</v>
      </c>
      <c r="J110" s="229">
        <v>40</v>
      </c>
      <c r="K110" s="287">
        <f>A110*(2^10/10^12)/2^3</f>
        <v>1.28E-10</v>
      </c>
      <c r="L110" s="124" t="s">
        <v>13</v>
      </c>
      <c r="M110" s="125" t="s">
        <v>22</v>
      </c>
      <c r="N110" s="155">
        <v>10</v>
      </c>
      <c r="O110" s="220">
        <v>12</v>
      </c>
      <c r="P110" s="302">
        <f>A110/2^3/2^30</f>
        <v>1.1641532182693481E-10</v>
      </c>
      <c r="Q110" s="126" t="s">
        <v>14</v>
      </c>
      <c r="R110" s="216" t="s">
        <v>28</v>
      </c>
      <c r="S110" s="155">
        <v>2</v>
      </c>
      <c r="T110" s="220">
        <v>40</v>
      </c>
      <c r="U110" s="319">
        <f>A110*(2^10/10^12)</f>
        <v>1.024E-9</v>
      </c>
      <c r="V110" s="126" t="s">
        <v>40</v>
      </c>
      <c r="W110" s="216" t="s">
        <v>32</v>
      </c>
      <c r="X110" s="155">
        <v>10</v>
      </c>
      <c r="Y110" s="220">
        <v>12</v>
      </c>
    </row>
    <row r="111" spans="1:25" ht="24.95" customHeight="1" x14ac:dyDescent="0.3">
      <c r="A111" s="40">
        <v>1</v>
      </c>
      <c r="B111" s="41" t="s">
        <v>42</v>
      </c>
      <c r="C111" s="66" t="s">
        <v>34</v>
      </c>
      <c r="D111" s="76">
        <v>2</v>
      </c>
      <c r="E111" s="85">
        <v>20</v>
      </c>
      <c r="F111" s="265">
        <f>A111/2^20</f>
        <v>9.5367431640625E-7</v>
      </c>
      <c r="G111" s="131" t="s">
        <v>44</v>
      </c>
      <c r="H111" s="217" t="s">
        <v>36</v>
      </c>
      <c r="I111" s="173">
        <v>2</v>
      </c>
      <c r="J111" s="230">
        <v>40</v>
      </c>
      <c r="K111" s="288">
        <f>A111*(2^20/10^12)/2^3</f>
        <v>1.31072E-7</v>
      </c>
      <c r="L111" s="129" t="s">
        <v>13</v>
      </c>
      <c r="M111" s="130" t="s">
        <v>22</v>
      </c>
      <c r="N111" s="156">
        <v>10</v>
      </c>
      <c r="O111" s="221">
        <v>12</v>
      </c>
      <c r="P111" s="303">
        <f>A111/2^3/2^20</f>
        <v>1.1920928955078125E-7</v>
      </c>
      <c r="Q111" s="131" t="s">
        <v>14</v>
      </c>
      <c r="R111" s="217" t="s">
        <v>28</v>
      </c>
      <c r="S111" s="156">
        <v>2</v>
      </c>
      <c r="T111" s="221">
        <v>40</v>
      </c>
      <c r="U111" s="288">
        <f>A111*(2^20/10^12)</f>
        <v>1.048576E-6</v>
      </c>
      <c r="V111" s="131" t="s">
        <v>40</v>
      </c>
      <c r="W111" s="217" t="s">
        <v>32</v>
      </c>
      <c r="X111" s="156">
        <v>10</v>
      </c>
      <c r="Y111" s="221">
        <v>12</v>
      </c>
    </row>
    <row r="112" spans="1:25" ht="24.95" customHeight="1" x14ac:dyDescent="0.3">
      <c r="A112" s="40">
        <v>1</v>
      </c>
      <c r="B112" s="41" t="s">
        <v>43</v>
      </c>
      <c r="C112" s="66" t="s">
        <v>35</v>
      </c>
      <c r="D112" s="76">
        <v>2</v>
      </c>
      <c r="E112" s="85">
        <v>30</v>
      </c>
      <c r="F112" s="261">
        <f>A112/2^10</f>
        <v>9.765625E-4</v>
      </c>
      <c r="G112" s="131" t="s">
        <v>44</v>
      </c>
      <c r="H112" s="217" t="s">
        <v>36</v>
      </c>
      <c r="I112" s="173">
        <v>2</v>
      </c>
      <c r="J112" s="230">
        <v>40</v>
      </c>
      <c r="K112" s="261">
        <f>A112*(2^30/10^12)/2^3</f>
        <v>1.34217728E-4</v>
      </c>
      <c r="L112" s="129" t="s">
        <v>13</v>
      </c>
      <c r="M112" s="130" t="s">
        <v>22</v>
      </c>
      <c r="N112" s="156">
        <v>10</v>
      </c>
      <c r="O112" s="221">
        <v>12</v>
      </c>
      <c r="P112" s="261">
        <f>A112/2^3/2^10</f>
        <v>1.220703125E-4</v>
      </c>
      <c r="Q112" s="131" t="s">
        <v>14</v>
      </c>
      <c r="R112" s="217" t="s">
        <v>28</v>
      </c>
      <c r="S112" s="156">
        <v>2</v>
      </c>
      <c r="T112" s="221">
        <v>40</v>
      </c>
      <c r="U112" s="261">
        <f>A112*(2^30/12^12)</f>
        <v>1.2042729108217093E-4</v>
      </c>
      <c r="V112" s="131" t="s">
        <v>40</v>
      </c>
      <c r="W112" s="217" t="s">
        <v>32</v>
      </c>
      <c r="X112" s="156">
        <v>10</v>
      </c>
      <c r="Y112" s="221">
        <v>12</v>
      </c>
    </row>
    <row r="113" spans="1:25" ht="24.95" customHeight="1" thickBot="1" x14ac:dyDescent="0.35">
      <c r="A113" s="4">
        <v>1</v>
      </c>
      <c r="B113" s="29" t="s">
        <v>44</v>
      </c>
      <c r="C113" s="68" t="s">
        <v>36</v>
      </c>
      <c r="D113" s="78">
        <v>2</v>
      </c>
      <c r="E113" s="87">
        <v>40</v>
      </c>
      <c r="F113" s="266">
        <f>A113*2^0</f>
        <v>1</v>
      </c>
      <c r="G113" s="139" t="s">
        <v>44</v>
      </c>
      <c r="H113" s="219" t="s">
        <v>36</v>
      </c>
      <c r="I113" s="175">
        <v>2</v>
      </c>
      <c r="J113" s="232">
        <v>40</v>
      </c>
      <c r="K113" s="266">
        <f>A113*(2^40/10^12)/2^3</f>
        <v>0.137438953472</v>
      </c>
      <c r="L113" s="137" t="s">
        <v>13</v>
      </c>
      <c r="M113" s="138" t="s">
        <v>22</v>
      </c>
      <c r="N113" s="158">
        <v>10</v>
      </c>
      <c r="O113" s="223">
        <v>12</v>
      </c>
      <c r="P113" s="266">
        <f>A113/2^3</f>
        <v>0.125</v>
      </c>
      <c r="Q113" s="139" t="s">
        <v>14</v>
      </c>
      <c r="R113" s="219" t="s">
        <v>28</v>
      </c>
      <c r="S113" s="158">
        <v>2</v>
      </c>
      <c r="T113" s="223">
        <v>40</v>
      </c>
      <c r="U113" s="266">
        <f>A113*(2^40/10^12)</f>
        <v>1.099511627776</v>
      </c>
      <c r="V113" s="139" t="s">
        <v>40</v>
      </c>
      <c r="W113" s="219" t="s">
        <v>32</v>
      </c>
      <c r="X113" s="158">
        <v>10</v>
      </c>
      <c r="Y113" s="223">
        <v>12</v>
      </c>
    </row>
  </sheetData>
  <mergeCells count="7">
    <mergeCell ref="V2:W2"/>
    <mergeCell ref="A1:C1"/>
    <mergeCell ref="G2:H2"/>
    <mergeCell ref="L2:M2"/>
    <mergeCell ref="Q2:R2"/>
    <mergeCell ref="B2:C2"/>
    <mergeCell ref="D2:E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3" fitToHeight="20" orientation="landscape" horizontalDpi="1200" verticalDpi="1200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Datenumrechnung</vt:lpstr>
      <vt:lpstr>Datenumrechnung!Drucktitel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Jaborek</dc:creator>
  <cp:lastModifiedBy>Björn Jaborek</cp:lastModifiedBy>
  <cp:lastPrinted>2020-08-20T11:05:28Z</cp:lastPrinted>
  <dcterms:created xsi:type="dcterms:W3CDTF">2020-07-17T07:21:08Z</dcterms:created>
  <dcterms:modified xsi:type="dcterms:W3CDTF">2020-08-23T16:46:55Z</dcterms:modified>
</cp:coreProperties>
</file>